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3.xml" ContentType="application/vnd.openxmlformats-officedocument.spreadsheetml.worksheet+xml"/>
  <Override PartName="/xl/worksheets/sheet1.xml" ContentType="application/vnd.openxmlformats-officedocument.spreadsheetml.worksheet+xml"/>
  <Override PartName="/xl/worksheets/sheet61.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50.xml" ContentType="application/vnd.openxmlformats-officedocument.spreadsheetml.worksheet+xml"/>
  <Override PartName="/xl/worksheets/sheet62.xml" ContentType="application/vnd.openxmlformats-officedocument.spreadsheetml.worksheet+xml"/>
  <Override PartName="/xl/worksheets/sheet53.xml" ContentType="application/vnd.openxmlformats-officedocument.spreadsheetml.worksheet+xml"/>
  <Override PartName="/xl/worksheets/sheet51.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calcChain.xml" ContentType="application/vnd.openxmlformats-officedocument.spreadsheetml.calcChain+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omments3.xml" ContentType="application/vnd.openxmlformats-officedocument.spreadsheetml.comments+xml"/>
  <Override PartName="/xl/comments4.xml" ContentType="application/vnd.openxmlformats-officedocument.spreadsheetml.comment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9705" yWindow="-15" windowWidth="9510" windowHeight="11640" tabRatio="696" firstSheet="14" activeTab="14"/>
  </bookViews>
  <sheets>
    <sheet name="01" sheetId="2" state="hidden" r:id="rId1"/>
    <sheet name="02" sheetId="3" state="hidden" r:id="rId2"/>
    <sheet name="03" sheetId="4" state="hidden" r:id="rId3"/>
    <sheet name="04" sheetId="5" state="hidden" r:id="rId4"/>
    <sheet name="05" sheetId="6" state="hidden" r:id="rId5"/>
    <sheet name="06" sheetId="7" state="hidden" r:id="rId6"/>
    <sheet name="07-CDNSDP3nam" sheetId="8" state="hidden" r:id="rId7"/>
    <sheet name="08-ThuNSNN3nam" sheetId="9" state="hidden" r:id="rId8"/>
    <sheet name="09-CDNST 3nam" sheetId="10" state="hidden" r:id="rId9"/>
    <sheet name="10-ChiNST3nam" sheetId="11" state="hidden" r:id="rId10"/>
    <sheet name="11-KHDTvonNS3nam" sheetId="12" state="hidden" r:id="rId11"/>
    <sheet name="12-DGCDNSDP2017" sheetId="13" state="hidden" r:id="rId12"/>
    <sheet name="13-DGThuNSNN2017" sheetId="14" state="hidden" r:id="rId13"/>
    <sheet name="14-DGChiNSDP2017" sheetId="15" state="hidden" r:id="rId14"/>
    <sheet name="46-CK NSNN" sheetId="16" r:id="rId15"/>
    <sheet name="47-CK NSNN" sheetId="31" r:id="rId16"/>
    <sheet name="48-CK NSNN" sheetId="17" r:id="rId17"/>
    <sheet name="49-CK NSNN" sheetId="18" r:id="rId18"/>
    <sheet name="18-Boi chi" sheetId="19" state="hidden" r:id="rId19"/>
    <sheet name="19-DGCDNS T+H2017" sheetId="20" state="hidden" r:id="rId20"/>
    <sheet name="20 -DG thu H 2017" sheetId="21" state="hidden" r:id="rId21"/>
    <sheet name="21-DGthu H 2017" sheetId="22" state="hidden" r:id="rId22"/>
    <sheet name="22 - DG chi T+H2017" sheetId="23" state="hidden" r:id="rId23"/>
    <sheet name="23-DG chi NST theoLV" sheetId="24" state="hidden" r:id="rId24"/>
    <sheet name="24-DG chi tung co quan T" sheetId="25" state="hidden" r:id="rId25"/>
    <sheet name="25-DG chi DT tung co quan T" sheetId="26" state="hidden" r:id="rId26"/>
    <sheet name="26-DG chiTX tungCQ T" sheetId="27" state="hidden" r:id="rId27"/>
    <sheet name="27-DG chi H" sheetId="28" state="hidden" r:id="rId28"/>
    <sheet name="28-DG Quy ngoaiNS" sheetId="29" state="hidden" r:id="rId29"/>
    <sheet name="29-ThuDVSN" sheetId="30" state="hidden" r:id="rId30"/>
    <sheet name="31-DT thuH" sheetId="32" state="hidden" r:id="rId31"/>
    <sheet name="32-DT thu H" sheetId="33" state="hidden" r:id="rId32"/>
    <sheet name="33-Chi NS T+H 2018" sheetId="34" state="hidden" r:id="rId33"/>
    <sheet name="50-CK NSNN" sheetId="35" r:id="rId34"/>
    <sheet name="51- CK NSNN- bo" sheetId="36" state="hidden" r:id="rId35"/>
    <sheet name="36-Chi DT tung CQ 2018" sheetId="37" state="hidden" r:id="rId36"/>
    <sheet name="52-CK NSNN" sheetId="72" r:id="rId37"/>
    <sheet name="53-CK NSNN" sheetId="38" r:id="rId38"/>
    <sheet name="38-DT chi CTMTQG" sheetId="39" state="hidden" r:id="rId39"/>
    <sheet name="55-CK NSNN" sheetId="40" r:id="rId40"/>
    <sheet name="40" sheetId="41" state="hidden" r:id="rId41"/>
    <sheet name="41-Chi tung H 2018" sheetId="42" state="hidden" r:id="rId42"/>
    <sheet name="42 - BS Co MT H" sheetId="43" state="hidden" r:id="rId43"/>
    <sheet name="43-BSMT  VonDT cho H" sheetId="44" state="hidden" r:id="rId44"/>
    <sheet name="44-BSMt von SN cho H" sheetId="45" state="hidden" r:id="rId45"/>
    <sheet name="45 - Quy TC ngoai NS 2018" sheetId="46" state="hidden" r:id="rId46"/>
    <sheet name="46- DA sd von NS 2018" sheetId="47" state="hidden" r:id="rId47"/>
    <sheet name="47-DT thu Dv SN cong" sheetId="48" state="hidden" r:id="rId48"/>
    <sheet name="48" sheetId="49" state="hidden" r:id="rId49"/>
    <sheet name="49" sheetId="50" state="hidden" r:id="rId50"/>
    <sheet name="50" sheetId="51" state="hidden" r:id="rId51"/>
    <sheet name="51" sheetId="52" state="hidden" r:id="rId52"/>
    <sheet name="52" sheetId="53" state="hidden" r:id="rId53"/>
    <sheet name="53" sheetId="54" state="hidden" r:id="rId54"/>
    <sheet name="54" sheetId="55" state="hidden" r:id="rId55"/>
    <sheet name="55" sheetId="56" state="hidden" r:id="rId56"/>
    <sheet name="56" sheetId="57" state="hidden" r:id="rId57"/>
    <sheet name="57" sheetId="58" state="hidden" r:id="rId58"/>
    <sheet name="58" sheetId="59" state="hidden" r:id="rId59"/>
    <sheet name="59" sheetId="60" state="hidden" r:id="rId60"/>
    <sheet name="60" sheetId="61" state="hidden" r:id="rId61"/>
    <sheet name="61" sheetId="62" state="hidden" r:id="rId62"/>
    <sheet name="62" sheetId="63" state="hidden" r:id="rId63"/>
    <sheet name="63" sheetId="64" state="hidden" r:id="rId64"/>
    <sheet name="64" sheetId="65" state="hidden" r:id="rId65"/>
    <sheet name="PB CTMTQG" sheetId="66" state="hidden" r:id="rId66"/>
    <sheet name="Che do" sheetId="67" state="hidden" r:id="rId67"/>
    <sheet name="Kien nghi" sheetId="68" state="hidden" r:id="rId68"/>
    <sheet name="Cac DT BHYT" sheetId="69" state="hidden" r:id="rId69"/>
    <sheet name="TT 3 nam" sheetId="70" state="hidden" r:id="rId70"/>
    <sheet name="Sheet2" sheetId="71" state="hidden" r:id="rId71"/>
  </sheets>
  <externalReferences>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_xlnm._FilterDatabase" localSheetId="25" hidden="1">'25-DG chi DT tung co quan T'!$A$7:$S$176</definedName>
    <definedName name="_xlnm._FilterDatabase" localSheetId="26" hidden="1">'26-DG chiTX tungCQ T'!$A$7:$R$143</definedName>
    <definedName name="ADP">#REF!</definedName>
    <definedName name="AKHAC">#REF!</definedName>
    <definedName name="ALTINH">#REF!</definedName>
    <definedName name="Anguon">'[1]Dt 2001'!#REF!</definedName>
    <definedName name="ANN">#REF!</definedName>
    <definedName name="ANQD">#REF!</definedName>
    <definedName name="ANQQH">'[1]Dt 2001'!#REF!</definedName>
    <definedName name="ANSNN">'[1]Dt 2001'!#REF!</definedName>
    <definedName name="ANSNNxnk">'[1]Dt 2001'!#REF!</definedName>
    <definedName name="APC">'[1]Dt 2001'!#REF!</definedName>
    <definedName name="ATW">#REF!</definedName>
    <definedName name="Can_doi">#REF!</definedName>
    <definedName name="chuong_phuluc_10" localSheetId="9">'10-ChiNST3nam'!$A$1</definedName>
    <definedName name="chuong_phuluc_10_name" localSheetId="9">'10-ChiNST3nam'!$A$2</definedName>
    <definedName name="chuong_phuluc_11" localSheetId="10">'11-KHDTvonNS3nam'!$A$1</definedName>
    <definedName name="chuong_phuluc_11_name" localSheetId="10">'11-KHDTvonNS3nam'!$A$2</definedName>
    <definedName name="chuong_phuluc_12" localSheetId="11">'12-DGCDNSDP2017'!$A$1</definedName>
    <definedName name="chuong_phuluc_12_name" localSheetId="11">'12-DGCDNSDP2017'!$A$2</definedName>
    <definedName name="chuong_phuluc_13" localSheetId="12">'13-DGThuNSNN2017'!$A$1</definedName>
    <definedName name="chuong_phuluc_13_name" localSheetId="12">'13-DGThuNSNN2017'!$A$2</definedName>
    <definedName name="chuong_phuluc_14" localSheetId="13">'14-DGChiNSDP2017'!$A$1</definedName>
    <definedName name="chuong_phuluc_14_name" localSheetId="13">'14-DGChiNSDP2017'!$A$2</definedName>
    <definedName name="chuong_phuluc_15" localSheetId="14">'46-CK NSNN'!#REF!</definedName>
    <definedName name="chuong_phuluc_15_name" localSheetId="14">'46-CK NSNN'!$A$4</definedName>
    <definedName name="chuong_phuluc_16" localSheetId="16">'48-CK NSNN'!$F$1</definedName>
    <definedName name="chuong_phuluc_16_name" localSheetId="16">'48-CK NSNN'!$A$4</definedName>
    <definedName name="chuong_phuluc_17" localSheetId="17">'49-CK NSNN'!$D$1</definedName>
    <definedName name="chuong_phuluc_17_name" localSheetId="17">'49-CK NSNN'!$A$4</definedName>
    <definedName name="chuong_phuluc_18" localSheetId="18">'18-Boi chi'!$A$1</definedName>
    <definedName name="chuong_phuluc_18_name" localSheetId="18">'18-Boi chi'!$A$2</definedName>
    <definedName name="chuong_phuluc_19" localSheetId="19">'19-DGCDNS T+H2017'!$A$1</definedName>
    <definedName name="chuong_phuluc_19_name" localSheetId="19">'19-DGCDNS T+H2017'!$A$2</definedName>
    <definedName name="chuong_phuluc_2" localSheetId="0">'01'!$A$1</definedName>
    <definedName name="chuong_phuluc_2_1" localSheetId="1">'02'!$A$1</definedName>
    <definedName name="chuong_phuluc_2_1_name" localSheetId="1">'02'!$A$2</definedName>
    <definedName name="chuong_phuluc_2_name" localSheetId="0">'01'!$A$2</definedName>
    <definedName name="chuong_phuluc_20" localSheetId="20">'20 -DG thu H 2017'!$A$1</definedName>
    <definedName name="chuong_phuluc_20_name" localSheetId="20">'20 -DG thu H 2017'!$A$2</definedName>
    <definedName name="chuong_phuluc_21" localSheetId="21">'21-DGthu H 2017'!$A$1</definedName>
    <definedName name="chuong_phuluc_21_name" localSheetId="21">'21-DGthu H 2017'!$A$2</definedName>
    <definedName name="chuong_phuluc_22" localSheetId="22">'22 - DG chi T+H2017'!$J$1</definedName>
    <definedName name="chuong_phuluc_22_name" localSheetId="22">'22 - DG chi T+H2017'!$A$2</definedName>
    <definedName name="chuong_phuluc_23" localSheetId="23">'23-DG chi NST theoLV'!$G$1</definedName>
    <definedName name="chuong_phuluc_23_name" localSheetId="23">'23-DG chi NST theoLV'!$A$3</definedName>
    <definedName name="chuong_phuluc_24" localSheetId="24">'24-DG chi tung co quan T'!$K$1</definedName>
    <definedName name="chuong_phuluc_24_name" localSheetId="24">'24-DG chi tung co quan T'!$A$2</definedName>
    <definedName name="chuong_phuluc_25" localSheetId="25">'25-DG chi DT tung co quan T'!$R$1</definedName>
    <definedName name="chuong_phuluc_25_name" localSheetId="25">'25-DG chi DT tung co quan T'!$A$2</definedName>
    <definedName name="chuong_phuluc_26" localSheetId="26">'26-DG chiTX tungCQ T'!$R$1</definedName>
    <definedName name="chuong_phuluc_26_name" localSheetId="26">'26-DG chiTX tungCQ T'!$A$2</definedName>
    <definedName name="chuong_phuluc_27" localSheetId="27">'27-DG chi H'!$AG$1</definedName>
    <definedName name="chuong_phuluc_27_name" localSheetId="27">'27-DG chi H'!$A$2</definedName>
    <definedName name="chuong_phuluc_28" localSheetId="28">'28-DG Quy ngoaiNS'!$L$1</definedName>
    <definedName name="chuong_phuluc_28_name" localSheetId="28">'28-DG Quy ngoaiNS'!$A$2</definedName>
    <definedName name="chuong_phuluc_29" localSheetId="29">'29-ThuDVSN'!$E$1</definedName>
    <definedName name="chuong_phuluc_29_name" localSheetId="29">'29-ThuDVSN'!$A$2</definedName>
    <definedName name="chuong_phuluc_3" localSheetId="2">'03'!$A$1</definedName>
    <definedName name="chuong_phuluc_3_name" localSheetId="2">'03'!$A$2</definedName>
    <definedName name="chuong_phuluc_30" localSheetId="15">'47-CK NSNN'!$F$1</definedName>
    <definedName name="chuong_phuluc_30_name" localSheetId="15">'47-CK NSNN'!$A$4</definedName>
    <definedName name="chuong_phuluc_31" localSheetId="30">'31-DT thuH'!$N$1</definedName>
    <definedName name="chuong_phuluc_31_name" localSheetId="30">'31-DT thuH'!$A$2</definedName>
    <definedName name="chuong_phuluc_32" localSheetId="31">'32-DT thu H'!$Z$1</definedName>
    <definedName name="chuong_phuluc_32_name" localSheetId="31">'32-DT thu H'!$A$2</definedName>
    <definedName name="chuong_phuluc_33" localSheetId="32">'33-Chi NS T+H 2018'!$E$1</definedName>
    <definedName name="chuong_phuluc_33_name" localSheetId="32">'33-Chi NS T+H 2018'!$A$2</definedName>
    <definedName name="chuong_phuluc_34_name" localSheetId="33">'50-CK NSNN'!$A$3</definedName>
    <definedName name="chuong_phuluc_35" localSheetId="34">'51- CK NSNN- bo'!$M$1</definedName>
    <definedName name="chuong_phuluc_35_name" localSheetId="34">'51- CK NSNN- bo'!$A$3</definedName>
    <definedName name="chuong_phuluc_36" localSheetId="35">'36-Chi DT tung CQ 2018'!$R$1</definedName>
    <definedName name="chuong_phuluc_36_name" localSheetId="35">'36-Chi DT tung CQ 2018'!$A$2</definedName>
    <definedName name="chuong_phuluc_37" localSheetId="37">'53-CK NSNN'!#REF!</definedName>
    <definedName name="chuong_phuluc_37_name" localSheetId="37">'53-CK NSNN'!$A$4</definedName>
    <definedName name="chuong_phuluc_38" localSheetId="38">'38-DT chi CTMTQG'!$S$1</definedName>
    <definedName name="chuong_phuluc_38_name" localSheetId="38">'38-DT chi CTMTQG'!$A$2</definedName>
    <definedName name="chuong_phuluc_39" localSheetId="39">'55-CK NSNN'!$J$1</definedName>
    <definedName name="chuong_phuluc_39_name" localSheetId="39">'55-CK NSNN'!$A$4</definedName>
    <definedName name="chuong_phuluc_4" localSheetId="3">'04'!$A$1</definedName>
    <definedName name="chuong_phuluc_4_name" localSheetId="3">'04'!$A$2</definedName>
    <definedName name="chuong_phuluc_40" localSheetId="40">'40'!$F$1</definedName>
    <definedName name="chuong_phuluc_40_name" localSheetId="40">'40'!$A$2</definedName>
    <definedName name="chuong_phuluc_41" localSheetId="41">'41-Chi tung H 2018'!$U$1</definedName>
    <definedName name="chuong_phuluc_41_name" localSheetId="41">'41-Chi tung H 2018'!$A$2</definedName>
    <definedName name="chuong_phuluc_42" localSheetId="42">'42 - BS Co MT H'!$F$1</definedName>
    <definedName name="chuong_phuluc_42_name" localSheetId="42">'42 - BS Co MT H'!$A$2</definedName>
    <definedName name="chuong_phuluc_43" localSheetId="43">'43-BSMT  VonDT cho H'!$L$1</definedName>
    <definedName name="chuong_phuluc_43_name" localSheetId="43">'43-BSMT  VonDT cho H'!$A$2</definedName>
    <definedName name="chuong_phuluc_44" localSheetId="44">'44-BSMt von SN cho H'!$L$1</definedName>
    <definedName name="chuong_phuluc_44_name" localSheetId="44">'44-BSMt von SN cho H'!$A$2</definedName>
    <definedName name="chuong_phuluc_44_name_name" localSheetId="44">'44-BSMt von SN cho H'!$A$3</definedName>
    <definedName name="chuong_phuluc_45" localSheetId="45">'45 - Quy TC ngoai NS 2018'!$M$1</definedName>
    <definedName name="chuong_phuluc_45_name" localSheetId="45">'45 - Quy TC ngoai NS 2018'!$A$2</definedName>
    <definedName name="chuong_phuluc_46" localSheetId="46">'46- DA sd von NS 2018'!$V$1</definedName>
    <definedName name="chuong_phuluc_46_name" localSheetId="46">'46- DA sd von NS 2018'!$A$2</definedName>
    <definedName name="chuong_phuluc_47" localSheetId="47">'47-DT thu Dv SN cong'!$E$1</definedName>
    <definedName name="chuong_phuluc_47_name" localSheetId="47">'47-DT thu Dv SN cong'!$A$2</definedName>
    <definedName name="chuong_phuluc_47_name_name" localSheetId="47">'47-DT thu Dv SN cong'!$A$3</definedName>
    <definedName name="chuong_phuluc_48" localSheetId="48">'48'!$F$1</definedName>
    <definedName name="chuong_phuluc_48_name" localSheetId="48">'48'!$A$2</definedName>
    <definedName name="chuong_phuluc_49" localSheetId="49">'49'!$E$1</definedName>
    <definedName name="chuong_phuluc_49_name" localSheetId="49">'49'!$A$2</definedName>
    <definedName name="chuong_phuluc_5" localSheetId="4">'05'!$A$1</definedName>
    <definedName name="chuong_phuluc_5_name" localSheetId="4">'05'!$A$2</definedName>
    <definedName name="chuong_phuluc_50" localSheetId="50">'50'!$H$1</definedName>
    <definedName name="chuong_phuluc_50_name" localSheetId="50">'50'!$A$2</definedName>
    <definedName name="chuong_phuluc_51" localSheetId="51">'51'!$E$1</definedName>
    <definedName name="chuong_phuluc_51_name" localSheetId="51">'51'!$A$2</definedName>
    <definedName name="chuong_phuluc_52" localSheetId="52">'52'!$F$1</definedName>
    <definedName name="chuong_phuluc_52_name" localSheetId="52">'52'!$A$2</definedName>
    <definedName name="chuong_phuluc_53" localSheetId="53">'53'!$K$1</definedName>
    <definedName name="chuong_phuluc_53_name" localSheetId="53">'53'!$A$2</definedName>
    <definedName name="chuong_phuluc_54" localSheetId="54">'54'!$Q$1</definedName>
    <definedName name="chuong_phuluc_54_name" localSheetId="54">'54'!$A$2</definedName>
    <definedName name="chuong_phuluc_55" localSheetId="55">'55'!$T$1</definedName>
    <definedName name="chuong_phuluc_55_name" localSheetId="55">'55'!$A$2</definedName>
    <definedName name="chuong_phuluc_56" localSheetId="56">'56'!$T$1</definedName>
    <definedName name="chuong_phuluc_56_name" localSheetId="56">'56'!$A$2</definedName>
    <definedName name="chuong_phuluc_57" localSheetId="57">'57'!$J$1</definedName>
    <definedName name="chuong_phuluc_57_name" localSheetId="57">'57'!$A$2</definedName>
    <definedName name="chuong_phuluc_58" localSheetId="58">'58'!$S$1</definedName>
    <definedName name="chuong_phuluc_58_name" localSheetId="58">'58'!$A$2</definedName>
    <definedName name="chuong_phuluc_59_name" localSheetId="59">'59'!$A$2</definedName>
    <definedName name="chuong_phuluc_6" localSheetId="5">'06'!$A$1</definedName>
    <definedName name="chuong_phuluc_6_name" localSheetId="5">'06'!$A$2</definedName>
    <definedName name="chuong_phuluc_60" localSheetId="60">'60'!$H$1</definedName>
    <definedName name="chuong_phuluc_60_name" localSheetId="60">'60'!$A$2</definedName>
    <definedName name="chuong_phuluc_61" localSheetId="61">'61'!$U$1</definedName>
    <definedName name="chuong_phuluc_61_name" localSheetId="61">'61'!$A$2</definedName>
    <definedName name="chuong_phuluc_62_name" localSheetId="62">'62'!$A$2</definedName>
    <definedName name="chuong_phuluc_63" localSheetId="63">'63'!$L$1</definedName>
    <definedName name="chuong_phuluc_63_name" localSheetId="63">'63'!$A$2</definedName>
    <definedName name="chuong_phuluc_64" localSheetId="64">'64'!$E$1</definedName>
    <definedName name="chuong_phuluc_64_name" localSheetId="64">'64'!$A$2</definedName>
    <definedName name="chuong_phuluc_7" localSheetId="6">'07-CDNSDP3nam'!$A$1</definedName>
    <definedName name="chuong_phuluc_7_name" localSheetId="6">'07-CDNSDP3nam'!$A$2</definedName>
    <definedName name="chuong_phuluc_8" localSheetId="7">'08-ThuNSNN3nam'!$A$1</definedName>
    <definedName name="chuong_phuluc_8_name" localSheetId="7">'08-ThuNSNN3nam'!$A$2</definedName>
    <definedName name="chuong_phuluc_9" localSheetId="8">'09-CDNST 3nam'!$A$1</definedName>
    <definedName name="chuong_phuluc_9_name" localSheetId="8">'09-CDNST 3nam'!$A$2</definedName>
    <definedName name="DNNN">#REF!</definedName>
    <definedName name="Khac">#REF!</definedName>
    <definedName name="Khong_can_doi">#REF!</definedName>
    <definedName name="NQD">#REF!</definedName>
    <definedName name="NQQH">'[1]Dt 2001'!#REF!</definedName>
    <definedName name="NSNN">'[1]Dt 2001'!#REF!</definedName>
    <definedName name="PC">'[1]Dt 2001'!#REF!</definedName>
    <definedName name="Phan_cap">#REF!</definedName>
    <definedName name="Phi_le_phi">#REF!</definedName>
    <definedName name="_xlnm.Print_Area" localSheetId="18">'18-Boi chi'!$A$1:$F$66</definedName>
    <definedName name="_xlnm.Print_Area" localSheetId="23">'23-DG chi NST theoLV'!$A$1:$G$49</definedName>
    <definedName name="_xlnm.Print_Area" localSheetId="14">'46-CK NSNN'!$A$1:$F$38</definedName>
    <definedName name="_xlnm.Print_Area" localSheetId="15">'47-CK NSNN'!$A$1:$F$38</definedName>
    <definedName name="_xlnm.Print_Area" localSheetId="16">'48-CK NSNN'!$A$1:$H$62</definedName>
    <definedName name="_xlnm.Print_Area" localSheetId="17">'49-CK NSNN'!$A$1:$E$56</definedName>
    <definedName name="_xlnm.Print_Area" localSheetId="33">'50-CK NSNN'!$A$1:$C$29</definedName>
    <definedName name="_xlnm.Print_Area" localSheetId="34">'51- CK NSNN- bo'!$A$1:$M$257</definedName>
    <definedName name="_xlnm.Print_Area" localSheetId="36">'52-CK NSNN'!$A$1:$O$36</definedName>
    <definedName name="_xlnm.Print_Area" localSheetId="39">'55-CK NSNN'!$A$1:$J$25</definedName>
    <definedName name="_xlnm.Print_Area">#REF!</definedName>
    <definedName name="PRINT_AREA_MI">#REF!</definedName>
    <definedName name="_xlnm.Print_Titles" localSheetId="13">'14-DGChiNSDP2017'!$5:$7</definedName>
    <definedName name="_xlnm.Print_Titles" localSheetId="18">'18-Boi chi'!$5:$6</definedName>
    <definedName name="_xlnm.Print_Titles" localSheetId="22">'22 - DG chi T+H2017'!$5:$7</definedName>
    <definedName name="_xlnm.Print_Titles" localSheetId="16">'48-CK NSNN'!$A:$B,'48-CK NSNN'!$6:$9</definedName>
    <definedName name="_xlnm.Print_Titles" localSheetId="17">'49-CK NSNN'!$A:$B,'49-CK NSNN'!$6:$8</definedName>
    <definedName name="_xlnm.Print_Titles" localSheetId="34">'51- CK NSNN- bo'!$6:$8</definedName>
    <definedName name="_xlnm.Print_Titles" localSheetId="36">'52-CK NSNN'!$5:$8</definedName>
    <definedName name="_xlnm.Print_Titles" localSheetId="37">'53-CK NSNN'!$7:$9</definedName>
    <definedName name="TW">#REF!</definedName>
    <definedName name="Z_9F606621_8853_4836_9A7E_DBA5CF152671_.wvu.Cols" localSheetId="21" hidden="1">'21-DGthu H 2017'!$X:$AC</definedName>
    <definedName name="Z_9F606621_8853_4836_9A7E_DBA5CF152671_.wvu.Cols" localSheetId="14" hidden="1">'46-CK NSNN'!#REF!,'46-CK NSNN'!#REF!,'46-CK NSNN'!#REF!,'46-CK NSNN'!#REF!</definedName>
    <definedName name="Z_9F606621_8853_4836_9A7E_DBA5CF152671_.wvu.Cols" localSheetId="17" hidden="1">'49-CK NSNN'!#REF!,'49-CK NSNN'!#REF!</definedName>
    <definedName name="Z_9F606621_8853_4836_9A7E_DBA5CF152671_.wvu.Cols" localSheetId="66" hidden="1">'Che do'!$I:$K</definedName>
    <definedName name="Z_9F606621_8853_4836_9A7E_DBA5CF152671_.wvu.FilterData" localSheetId="25" hidden="1">'25-DG chi DT tung co quan T'!$A$7:$S$176</definedName>
    <definedName name="Z_9F606621_8853_4836_9A7E_DBA5CF152671_.wvu.FilterData" localSheetId="26" hidden="1">'26-DG chiTX tungCQ T'!$A$7:$R$143</definedName>
    <definedName name="Z_9F606621_8853_4836_9A7E_DBA5CF152671_.wvu.PrintArea" localSheetId="18" hidden="1">'18-Boi chi'!$A$1:$F$66</definedName>
    <definedName name="Z_9F606621_8853_4836_9A7E_DBA5CF152671_.wvu.PrintArea" localSheetId="23" hidden="1">'23-DG chi NST theoLV'!$A$1:$G$49</definedName>
    <definedName name="Z_9F606621_8853_4836_9A7E_DBA5CF152671_.wvu.PrintTitles" localSheetId="13" hidden="1">'14-DGChiNSDP2017'!$5:$7</definedName>
    <definedName name="Z_9F606621_8853_4836_9A7E_DBA5CF152671_.wvu.PrintTitles" localSheetId="18" hidden="1">'18-Boi chi'!$5:$6</definedName>
    <definedName name="Z_9F606621_8853_4836_9A7E_DBA5CF152671_.wvu.PrintTitles" localSheetId="22" hidden="1">'22 - DG chi T+H2017'!$5:$7</definedName>
    <definedName name="Z_9F606621_8853_4836_9A7E_DBA5CF152671_.wvu.PrintTitles" localSheetId="16" hidden="1">'48-CK NSNN'!$A:$B,'48-CK NSNN'!$6:$8</definedName>
    <definedName name="Z_9F606621_8853_4836_9A7E_DBA5CF152671_.wvu.PrintTitles" localSheetId="17" hidden="1">'49-CK NSNN'!$A:$B,'49-CK NSNN'!$6:$8</definedName>
    <definedName name="Z_9F606621_8853_4836_9A7E_DBA5CF152671_.wvu.Rows" localSheetId="12" hidden="1">'13-DGThuNSNN2017'!$52:$55</definedName>
    <definedName name="Z_9F606621_8853_4836_9A7E_DBA5CF152671_.wvu.Rows" localSheetId="21" hidden="1">'21-DGthu H 2017'!$25:$30,'21-DGthu H 2017'!$34:$37,'21-DGthu H 2017'!$39:$40,'21-DGthu H 2017'!$42:$45,'21-DGthu H 2017'!$47:$48,'21-DGthu H 2017'!$54:$58,'21-DGthu H 2017'!$60:$61,'21-DGthu H 2017'!$63:$66,'21-DGthu H 2017'!$68:$69</definedName>
    <definedName name="Z_9F606621_8853_4836_9A7E_DBA5CF152671_.wvu.Rows" localSheetId="22" hidden="1">'22 - DG chi T+H2017'!$20:$24</definedName>
    <definedName name="Z_9F606621_8853_4836_9A7E_DBA5CF152671_.wvu.Rows" localSheetId="31" hidden="1">'32-DT thu H'!$25:$27,'32-DT thu H'!$30:$33,'32-DT thu H'!$35:$36,'32-DT thu H'!$38:$41,'32-DT thu H'!$43:$44,'32-DT thu H'!$49:$56</definedName>
    <definedName name="Z_9F606621_8853_4836_9A7E_DBA5CF152671_.wvu.Rows" localSheetId="14" hidden="1">'46-CK NSNN'!#REF!</definedName>
    <definedName name="Z_9F606621_8853_4836_9A7E_DBA5CF152671_.wvu.Rows" localSheetId="16" hidden="1">'48-CK NSNN'!#REF!,'48-CK NSNN'!#REF!</definedName>
    <definedName name="Z_DB9039ED_C6EA_422D_9A5D_D152D95EDC67_.wvu.Cols" localSheetId="11" hidden="1">'12-DGCDNSDP2017'!$C:$D</definedName>
    <definedName name="Z_DB9039ED_C6EA_422D_9A5D_D152D95EDC67_.wvu.Cols" localSheetId="12" hidden="1">'13-DGThuNSNN2017'!$C:$D</definedName>
    <definedName name="Z_DB9039ED_C6EA_422D_9A5D_D152D95EDC67_.wvu.Cols" localSheetId="21" hidden="1">'21-DGthu H 2017'!$X:$AC</definedName>
    <definedName name="Z_DB9039ED_C6EA_422D_9A5D_D152D95EDC67_.wvu.Cols" localSheetId="23" hidden="1">'23-DG chi NST theoLV'!$D:$D</definedName>
    <definedName name="Z_DB9039ED_C6EA_422D_9A5D_D152D95EDC67_.wvu.Cols" localSheetId="31" hidden="1">'32-DT thu H'!$X:$AC</definedName>
    <definedName name="Z_DB9039ED_C6EA_422D_9A5D_D152D95EDC67_.wvu.Cols" localSheetId="14" hidden="1">'46-CK NSNN'!#REF!,'46-CK NSNN'!#REF!,'46-CK NSNN'!#REF!,'46-CK NSNN'!#REF!</definedName>
    <definedName name="Z_DB9039ED_C6EA_422D_9A5D_D152D95EDC67_.wvu.Cols" localSheetId="16" hidden="1">'48-CK NSNN'!#REF!,'48-CK NSNN'!#REF!,'48-CK NSNN'!#REF!,'48-CK NSNN'!#REF!,'48-CK NSNN'!#REF!,'48-CK NSNN'!#REF!,'48-CK NSNN'!#REF!</definedName>
    <definedName name="Z_DB9039ED_C6EA_422D_9A5D_D152D95EDC67_.wvu.Cols" localSheetId="17" hidden="1">'49-CK NSNN'!#REF!,'49-CK NSNN'!#REF!,'49-CK NSNN'!#REF!</definedName>
    <definedName name="Z_DB9039ED_C6EA_422D_9A5D_D152D95EDC67_.wvu.Cols" localSheetId="37" hidden="1">'53-CK NSNN'!#REF!</definedName>
    <definedName name="Z_DB9039ED_C6EA_422D_9A5D_D152D95EDC67_.wvu.Cols" localSheetId="66" hidden="1">'Che do'!$I:$K</definedName>
    <definedName name="Z_DB9039ED_C6EA_422D_9A5D_D152D95EDC67_.wvu.FilterData" localSheetId="25" hidden="1">'25-DG chi DT tung co quan T'!$A$7:$S$176</definedName>
    <definedName name="Z_DB9039ED_C6EA_422D_9A5D_D152D95EDC67_.wvu.FilterData" localSheetId="26" hidden="1">'26-DG chiTX tungCQ T'!$A$7:$R$143</definedName>
    <definedName name="Z_DB9039ED_C6EA_422D_9A5D_D152D95EDC67_.wvu.PrintArea" localSheetId="7" hidden="1">'08-ThuNSNN3nam'!$A$1:$G$32</definedName>
    <definedName name="Z_DB9039ED_C6EA_422D_9A5D_D152D95EDC67_.wvu.PrintArea" localSheetId="8" hidden="1">'09-CDNST 3nam'!$A$1:$G$36</definedName>
    <definedName name="Z_DB9039ED_C6EA_422D_9A5D_D152D95EDC67_.wvu.PrintArea" localSheetId="12" hidden="1">'13-DGThuNSNN2017'!$A$1:$J$77</definedName>
    <definedName name="Z_DB9039ED_C6EA_422D_9A5D_D152D95EDC67_.wvu.PrintArea" localSheetId="13" hidden="1">'14-DGChiNSDP2017'!$A$1:$G$68</definedName>
    <definedName name="Z_DB9039ED_C6EA_422D_9A5D_D152D95EDC67_.wvu.PrintArea" localSheetId="18" hidden="1">'18-Boi chi'!$A$1:$F$64</definedName>
    <definedName name="Z_DB9039ED_C6EA_422D_9A5D_D152D95EDC67_.wvu.PrintArea" localSheetId="19" hidden="1">'19-DGCDNS T+H2017'!$A$1:$F$37</definedName>
    <definedName name="Z_DB9039ED_C6EA_422D_9A5D_D152D95EDC67_.wvu.PrintArea" localSheetId="20" hidden="1">'20 -DG thu H 2017'!$A$1:$N$28</definedName>
    <definedName name="Z_DB9039ED_C6EA_422D_9A5D_D152D95EDC67_.wvu.PrintArea" localSheetId="21" hidden="1">'21-DGthu H 2017'!$A$1:$AC$24</definedName>
    <definedName name="Z_DB9039ED_C6EA_422D_9A5D_D152D95EDC67_.wvu.PrintArea" localSheetId="22" hidden="1">'22 - DG chi T+H2017'!$A$1:$K$83</definedName>
    <definedName name="Z_DB9039ED_C6EA_422D_9A5D_D152D95EDC67_.wvu.PrintArea" localSheetId="23" hidden="1">'23-DG chi NST theoLV'!$A$1:$G$49</definedName>
    <definedName name="Z_DB9039ED_C6EA_422D_9A5D_D152D95EDC67_.wvu.PrintArea" localSheetId="25" hidden="1">'25-DG chi DT tung co quan T'!$A$1:$R$177</definedName>
    <definedName name="Z_DB9039ED_C6EA_422D_9A5D_D152D95EDC67_.wvu.PrintArea" localSheetId="26" hidden="1">'26-DG chiTX tungCQ T'!$A$1:$R$143</definedName>
    <definedName name="Z_DB9039ED_C6EA_422D_9A5D_D152D95EDC67_.wvu.PrintArea" localSheetId="27" hidden="1">'27-DG chi H'!$A$1:$AG$26</definedName>
    <definedName name="Z_DB9039ED_C6EA_422D_9A5D_D152D95EDC67_.wvu.PrintArea" localSheetId="29" hidden="1">'29-ThuDVSN'!$A$1:$E$20</definedName>
    <definedName name="Z_DB9039ED_C6EA_422D_9A5D_D152D95EDC67_.wvu.PrintArea" localSheetId="30" hidden="1">'31-DT thuH'!$A$1:$N$28</definedName>
    <definedName name="Z_DB9039ED_C6EA_422D_9A5D_D152D95EDC67_.wvu.PrintArea" localSheetId="31" hidden="1">'32-DT thu H'!$A$1:$AC$24</definedName>
    <definedName name="Z_DB9039ED_C6EA_422D_9A5D_D152D95EDC67_.wvu.PrintArea" localSheetId="32" hidden="1">'33-Chi NS T+H 2018'!$A$1:$E$55</definedName>
    <definedName name="Z_DB9039ED_C6EA_422D_9A5D_D152D95EDC67_.wvu.PrintArea" localSheetId="41" hidden="1">'41-Chi tung H 2018'!$A$1:$U$26</definedName>
    <definedName name="Z_DB9039ED_C6EA_422D_9A5D_D152D95EDC67_.wvu.PrintArea" localSheetId="14" hidden="1">'46-CK NSNN'!$A$2:$F$38</definedName>
    <definedName name="Z_DB9039ED_C6EA_422D_9A5D_D152D95EDC67_.wvu.PrintArea" localSheetId="15" hidden="1">'47-CK NSNN'!$A$1:$F$38</definedName>
    <definedName name="Z_DB9039ED_C6EA_422D_9A5D_D152D95EDC67_.wvu.PrintArea" localSheetId="16" hidden="1">'48-CK NSNN'!$A$1:$H$62</definedName>
    <definedName name="Z_DB9039ED_C6EA_422D_9A5D_D152D95EDC67_.wvu.PrintArea" localSheetId="17" hidden="1">'49-CK NSNN'!$A$1:$E$56</definedName>
    <definedName name="Z_DB9039ED_C6EA_422D_9A5D_D152D95EDC67_.wvu.PrintArea" localSheetId="33" hidden="1">'50-CK NSNN'!$A$1:$C$29</definedName>
    <definedName name="Z_DB9039ED_C6EA_422D_9A5D_D152D95EDC67_.wvu.PrintArea" localSheetId="37" hidden="1">'53-CK NSNN'!$A$1:$O$36</definedName>
    <definedName name="Z_DB9039ED_C6EA_422D_9A5D_D152D95EDC67_.wvu.PrintArea" localSheetId="39" hidden="1">'55-CK NSNN'!$A$1:$J$25</definedName>
    <definedName name="Z_DB9039ED_C6EA_422D_9A5D_D152D95EDC67_.wvu.PrintTitles" localSheetId="10" hidden="1">'11-KHDTvonNS3nam'!$5:$6</definedName>
    <definedName name="Z_DB9039ED_C6EA_422D_9A5D_D152D95EDC67_.wvu.PrintTitles" localSheetId="12" hidden="1">'13-DGThuNSNN2017'!$5:$7</definedName>
    <definedName name="Z_DB9039ED_C6EA_422D_9A5D_D152D95EDC67_.wvu.PrintTitles" localSheetId="18" hidden="1">'18-Boi chi'!$5:$6</definedName>
    <definedName name="Z_DB9039ED_C6EA_422D_9A5D_D152D95EDC67_.wvu.PrintTitles" localSheetId="22" hidden="1">'22 - DG chi T+H2017'!$5:$7</definedName>
    <definedName name="Z_DB9039ED_C6EA_422D_9A5D_D152D95EDC67_.wvu.PrintTitles" localSheetId="24" hidden="1">'24-DG chi tung co quan T'!$5:$7</definedName>
    <definedName name="Z_DB9039ED_C6EA_422D_9A5D_D152D95EDC67_.wvu.PrintTitles" localSheetId="26" hidden="1">'26-DG chiTX tungCQ T'!$5:$7</definedName>
    <definedName name="Z_DB9039ED_C6EA_422D_9A5D_D152D95EDC67_.wvu.PrintTitles" localSheetId="32" hidden="1">'33-Chi NS T+H 2018'!$5:$7</definedName>
    <definedName name="Z_DB9039ED_C6EA_422D_9A5D_D152D95EDC67_.wvu.PrintTitles" localSheetId="16" hidden="1">'48-CK NSNN'!$A:$B,'48-CK NSNN'!$6:$9</definedName>
    <definedName name="Z_DB9039ED_C6EA_422D_9A5D_D152D95EDC67_.wvu.PrintTitles" localSheetId="17" hidden="1">'49-CK NSNN'!$A:$B,'49-CK NSNN'!$6:$8</definedName>
    <definedName name="Z_DB9039ED_C6EA_422D_9A5D_D152D95EDC67_.wvu.PrintTitles" localSheetId="33" hidden="1">'50-CK NSNN'!$5:$6</definedName>
    <definedName name="Z_DB9039ED_C6EA_422D_9A5D_D152D95EDC67_.wvu.PrintTitles" localSheetId="34" hidden="1">'51- CK NSNN- bo'!$6:$8</definedName>
    <definedName name="Z_DB9039ED_C6EA_422D_9A5D_D152D95EDC67_.wvu.PrintTitles" localSheetId="37" hidden="1">'53-CK NSNN'!$7:$9</definedName>
    <definedName name="Z_DB9039ED_C6EA_422D_9A5D_D152D95EDC67_.wvu.Rows" localSheetId="10" hidden="1">'11-KHDTvonNS3nam'!$94:$101,'11-KHDTvonNS3nam'!$105:$108</definedName>
    <definedName name="Z_DB9039ED_C6EA_422D_9A5D_D152D95EDC67_.wvu.Rows" localSheetId="12" hidden="1">'13-DGThuNSNN2017'!$28:$28,'13-DGThuNSNN2017'!$34:$34,'13-DGThuNSNN2017'!$52:$55,'13-DGThuNSNN2017'!$63:$64</definedName>
    <definedName name="Z_DB9039ED_C6EA_422D_9A5D_D152D95EDC67_.wvu.Rows" localSheetId="13" hidden="1">'14-DGChiNSDP2017'!$20:$22,'14-DGChiNSDP2017'!$28:$29,'14-DGChiNSDP2017'!$31:$42,'14-DGChiNSDP2017'!$54:$67</definedName>
    <definedName name="Z_DB9039ED_C6EA_422D_9A5D_D152D95EDC67_.wvu.Rows" localSheetId="18" hidden="1">'18-Boi chi'!$16:$17,'18-Boi chi'!$19:$22,'18-Boi chi'!$32:$33,'18-Boi chi'!$51:$52</definedName>
    <definedName name="Z_DB9039ED_C6EA_422D_9A5D_D152D95EDC67_.wvu.Rows" localSheetId="20" hidden="1">'20 -DG thu H 2017'!$26:$27,'20 -DG thu H 2017'!$29:$31</definedName>
    <definedName name="Z_DB9039ED_C6EA_422D_9A5D_D152D95EDC67_.wvu.Rows" localSheetId="21" hidden="1">'21-DGthu H 2017'!$25:$30,'21-DGthu H 2017'!$34:$37,'21-DGthu H 2017'!$39:$40,'21-DGthu H 2017'!$42:$45,'21-DGthu H 2017'!$47:$48,'21-DGthu H 2017'!$54:$58,'21-DGthu H 2017'!$60:$61,'21-DGthu H 2017'!$63:$66,'21-DGthu H 2017'!$68:$69</definedName>
    <definedName name="Z_DB9039ED_C6EA_422D_9A5D_D152D95EDC67_.wvu.Rows" localSheetId="22" hidden="1">'22 - DG chi T+H2017'!$20:$24,'22 - DG chi T+H2017'!$57:$60,'22 - DG chi T+H2017'!$81:$82</definedName>
    <definedName name="Z_DB9039ED_C6EA_422D_9A5D_D152D95EDC67_.wvu.Rows" localSheetId="23" hidden="1">'23-DG chi NST theoLV'!$14:$26,'23-DG chi NST theoLV'!$31:$32</definedName>
    <definedName name="Z_DB9039ED_C6EA_422D_9A5D_D152D95EDC67_.wvu.Rows" localSheetId="24" hidden="1">'24-DG chi tung co quan T'!$36:$37,'24-DG chi tung co quan T'!$77:$78</definedName>
    <definedName name="Z_DB9039ED_C6EA_422D_9A5D_D152D95EDC67_.wvu.Rows" localSheetId="26" hidden="1">'26-DG chiTX tungCQ T'!$101:$101</definedName>
    <definedName name="Z_DB9039ED_C6EA_422D_9A5D_D152D95EDC67_.wvu.Rows" localSheetId="29" hidden="1">'29-ThuDVSN'!$18:$19</definedName>
    <definedName name="Z_DB9039ED_C6EA_422D_9A5D_D152D95EDC67_.wvu.Rows" localSheetId="30" hidden="1">'31-DT thuH'!$25:$27</definedName>
    <definedName name="Z_DB9039ED_C6EA_422D_9A5D_D152D95EDC67_.wvu.Rows" localSheetId="31" hidden="1">'32-DT thu H'!$25:$27,'32-DT thu H'!$30:$33,'32-DT thu H'!$35:$36,'32-DT thu H'!$38:$41,'32-DT thu H'!$43:$44,'32-DT thu H'!$49:$56</definedName>
    <definedName name="Z_DB9039ED_C6EA_422D_9A5D_D152D95EDC67_.wvu.Rows" localSheetId="32" hidden="1">'33-Chi NS T+H 2018'!$31:$32,'33-Chi NS T+H 2018'!$34:$35,'33-Chi NS T+H 2018'!$39:$54</definedName>
    <definedName name="Z_DB9039ED_C6EA_422D_9A5D_D152D95EDC67_.wvu.Rows" localSheetId="14" hidden="1">'46-CK NSNN'!#REF!</definedName>
    <definedName name="Z_DB9039ED_C6EA_422D_9A5D_D152D95EDC67_.wvu.Rows" localSheetId="47" hidden="1">'47-DT thu Dv SN cong'!$18:$19</definedName>
    <definedName name="Z_DB9039ED_C6EA_422D_9A5D_D152D95EDC67_.wvu.Rows" localSheetId="16" hidden="1">'48-CK NSNN'!#REF!,'48-CK NSNN'!#REF!,'48-CK NSNN'!#REF!,'48-CK NSNN'!#REF!,'48-CK NSNN'!#REF!,'48-CK NSNN'!#REF!,'48-CK NSNN'!#REF!</definedName>
    <definedName name="Z_DB9039ED_C6EA_422D_9A5D_D152D95EDC67_.wvu.Rows" localSheetId="17" hidden="1">'49-CK NSNN'!$18:$19,'49-CK NSNN'!#REF!,'49-CK NSNN'!#REF!,'49-CK NSNN'!#REF!,'49-CK NSNN'!$50:$52</definedName>
    <definedName name="Z_DB9039ED_C6EA_422D_9A5D_D152D95EDC67_.wvu.Rows" localSheetId="33" hidden="1">'50-CK NSNN'!#REF!,'50-CK NSNN'!#REF!,'50-CK NSNN'!#REF!</definedName>
    <definedName name="Z_DB9039ED_C6EA_422D_9A5D_D152D95EDC67_.wvu.Rows" localSheetId="34" hidden="1">'51- CK NSNN- bo'!$34:$34,'51- CK NSNN- bo'!$36:$45,'51- CK NSNN- bo'!$47:$49,'51- CK NSNN- bo'!$54:$54,'51- CK NSNN- bo'!$248:$251,'51- CK NSNN- bo'!$258:$260</definedName>
    <definedName name="Z_DB9039ED_C6EA_422D_9A5D_D152D95EDC67_.wvu.Rows" localSheetId="37" hidden="1">'53-CK NSNN'!$6:$6,'53-CK NSNN'!#REF!,'53-CK NSNN'!#REF!,'53-CK NSNN'!#REF!,'53-CK NSNN'!#REF!</definedName>
    <definedName name="Z_DB9039ED_C6EA_422D_9A5D_D152D95EDC67_.wvu.Rows" localSheetId="39" hidden="1">'55-CK NSNN'!#REF!</definedName>
  </definedNames>
  <calcPr calcId="125725"/>
  <customWorkbookViews>
    <customWorkbookView name="TTCNTT - Personal View" guid="{9F606621-8853-4836-9A7E-DBA5CF152671}" mergeInterval="0" personalView="1" maximized="1" windowWidth="1276" windowHeight="799" activeSheetId="16"/>
    <customWorkbookView name="DoThiHongHanh - Personal View" guid="{DB9039ED-C6EA-422D-9A5D-D152D95EDC67}" mergeInterval="0" personalView="1" maximized="1" windowWidth="1596" windowHeight="625" tabRatio="601" activeSheetId="66"/>
  </customWorkbookViews>
</workbook>
</file>

<file path=xl/calcChain.xml><?xml version="1.0" encoding="utf-8"?>
<calcChain xmlns="http://schemas.openxmlformats.org/spreadsheetml/2006/main">
  <c r="D248" i="36"/>
  <c r="E248"/>
  <c r="D249"/>
  <c r="E249"/>
  <c r="F252"/>
  <c r="G253"/>
  <c r="H254"/>
  <c r="I255"/>
  <c r="C248" l="1"/>
  <c r="C249"/>
  <c r="C263" l="1"/>
  <c r="C264" s="1"/>
  <c r="N64" i="19" l="1"/>
  <c r="O64"/>
  <c r="O61"/>
  <c r="O60"/>
  <c r="O59"/>
  <c r="O58"/>
  <c r="E7"/>
  <c r="E9" s="1"/>
  <c r="O62" l="1"/>
  <c r="O69" s="1"/>
  <c r="E7" i="43" l="1"/>
  <c r="F7"/>
  <c r="S11" i="42"/>
  <c r="T11"/>
  <c r="S12"/>
  <c r="T12"/>
  <c r="S13"/>
  <c r="T13"/>
  <c r="S14"/>
  <c r="T14"/>
  <c r="S15"/>
  <c r="T15"/>
  <c r="S16"/>
  <c r="T16"/>
  <c r="S17"/>
  <c r="T17"/>
  <c r="S18"/>
  <c r="T18"/>
  <c r="S19"/>
  <c r="T19"/>
  <c r="S20"/>
  <c r="T20"/>
  <c r="S21"/>
  <c r="T21"/>
  <c r="S22"/>
  <c r="T22"/>
  <c r="S23"/>
  <c r="T23"/>
  <c r="S24"/>
  <c r="T24"/>
  <c r="S25"/>
  <c r="T25"/>
  <c r="I10"/>
  <c r="P23"/>
  <c r="P22"/>
  <c r="P21"/>
  <c r="P19"/>
  <c r="P18"/>
  <c r="P16"/>
  <c r="P15"/>
  <c r="P14"/>
  <c r="E17" i="34"/>
  <c r="D9" i="43"/>
  <c r="D8"/>
  <c r="C9" l="1"/>
  <c r="R12" i="42"/>
  <c r="C8" i="43"/>
  <c r="R11" i="42"/>
  <c r="G55" i="23"/>
  <c r="H53"/>
  <c r="H51" s="1"/>
  <c r="C26" i="13"/>
  <c r="C28"/>
  <c r="J14"/>
  <c r="C14"/>
  <c r="C50" i="15"/>
  <c r="C49"/>
  <c r="G54" i="23"/>
  <c r="T21" i="70" l="1"/>
  <c r="S21"/>
  <c r="R21"/>
  <c r="P21"/>
  <c r="O21"/>
  <c r="N21"/>
  <c r="N48" s="1"/>
  <c r="D16" i="48"/>
  <c r="D15"/>
  <c r="D14"/>
  <c r="D13"/>
  <c r="D11"/>
  <c r="D10"/>
  <c r="D17"/>
  <c r="C12" l="1"/>
  <c r="D9"/>
  <c r="D8" s="1"/>
  <c r="D53" i="12"/>
  <c r="E53"/>
  <c r="F53"/>
  <c r="C53"/>
  <c r="G53"/>
  <c r="D50"/>
  <c r="E50"/>
  <c r="F50"/>
  <c r="G50"/>
  <c r="G52" s="1"/>
  <c r="C50"/>
  <c r="G92"/>
  <c r="F92"/>
  <c r="E92"/>
  <c r="D92"/>
  <c r="C92"/>
  <c r="G88"/>
  <c r="F88"/>
  <c r="E88"/>
  <c r="D88"/>
  <c r="C88"/>
  <c r="G100"/>
  <c r="F100"/>
  <c r="E100"/>
  <c r="D100"/>
  <c r="C100"/>
  <c r="G96"/>
  <c r="F96"/>
  <c r="E96"/>
  <c r="D96"/>
  <c r="C96"/>
  <c r="G84"/>
  <c r="F84"/>
  <c r="E84"/>
  <c r="D84"/>
  <c r="C84"/>
  <c r="G80"/>
  <c r="F80"/>
  <c r="E80"/>
  <c r="D80"/>
  <c r="C80"/>
  <c r="G76"/>
  <c r="F76"/>
  <c r="E76"/>
  <c r="D76"/>
  <c r="C76"/>
  <c r="E44"/>
  <c r="D46"/>
  <c r="D48" s="1"/>
  <c r="C46"/>
  <c r="C48" s="1"/>
  <c r="G72"/>
  <c r="F72"/>
  <c r="E72"/>
  <c r="D72"/>
  <c r="C72"/>
  <c r="G68"/>
  <c r="F68"/>
  <c r="E68"/>
  <c r="D68"/>
  <c r="C68"/>
  <c r="G64"/>
  <c r="F64"/>
  <c r="E64"/>
  <c r="D64"/>
  <c r="C64"/>
  <c r="G60"/>
  <c r="F60"/>
  <c r="E60"/>
  <c r="D60"/>
  <c r="C60"/>
  <c r="G56"/>
  <c r="F56"/>
  <c r="E56"/>
  <c r="D56"/>
  <c r="C56"/>
  <c r="G48"/>
  <c r="F48"/>
  <c r="E48"/>
  <c r="F44"/>
  <c r="G44"/>
  <c r="G40" s="1"/>
  <c r="C42"/>
  <c r="D42" s="1"/>
  <c r="C41"/>
  <c r="D41"/>
  <c r="E41"/>
  <c r="F41"/>
  <c r="G41"/>
  <c r="E38"/>
  <c r="F38"/>
  <c r="G38"/>
  <c r="G15" i="11" s="1"/>
  <c r="G21" i="12"/>
  <c r="F21"/>
  <c r="E21"/>
  <c r="E18" s="1"/>
  <c r="G23"/>
  <c r="F23"/>
  <c r="D27"/>
  <c r="D25" s="1"/>
  <c r="E27"/>
  <c r="E25" s="1"/>
  <c r="F27"/>
  <c r="F25" s="1"/>
  <c r="G27"/>
  <c r="G25" s="1"/>
  <c r="C27"/>
  <c r="C25" s="1"/>
  <c r="N52" i="70"/>
  <c r="R52"/>
  <c r="S52"/>
  <c r="O52"/>
  <c r="S39"/>
  <c r="O39"/>
  <c r="O32"/>
  <c r="N20"/>
  <c r="N12"/>
  <c r="D18" i="12"/>
  <c r="C18"/>
  <c r="T40" i="70"/>
  <c r="T20"/>
  <c r="T25"/>
  <c r="J13"/>
  <c r="K48"/>
  <c r="K39"/>
  <c r="G37" i="12" l="1"/>
  <c r="G14" s="1"/>
  <c r="G10" s="1"/>
  <c r="C52"/>
  <c r="F34"/>
  <c r="C37"/>
  <c r="C14" s="1"/>
  <c r="C10" s="1"/>
  <c r="E34"/>
  <c r="D37"/>
  <c r="D14" s="1"/>
  <c r="D10" s="1"/>
  <c r="G36"/>
  <c r="F37"/>
  <c r="F14" s="1"/>
  <c r="F10" s="1"/>
  <c r="E37"/>
  <c r="E14" s="1"/>
  <c r="E10" s="1"/>
  <c r="G34"/>
  <c r="D52"/>
  <c r="G16" i="11"/>
  <c r="G12" s="1"/>
  <c r="C16" i="12"/>
  <c r="E16"/>
  <c r="I14" i="11" s="1"/>
  <c r="F15"/>
  <c r="D16" i="12"/>
  <c r="D15" s="1"/>
  <c r="F52"/>
  <c r="F16" i="11"/>
  <c r="E52" i="12"/>
  <c r="F18"/>
  <c r="E40"/>
  <c r="F40"/>
  <c r="D38"/>
  <c r="D34" s="1"/>
  <c r="D44"/>
  <c r="D40" s="1"/>
  <c r="C44"/>
  <c r="C40" s="1"/>
  <c r="C38"/>
  <c r="C34" s="1"/>
  <c r="G18"/>
  <c r="C15"/>
  <c r="M101" i="27"/>
  <c r="P41" i="24"/>
  <c r="V41"/>
  <c r="U41"/>
  <c r="N97" i="30"/>
  <c r="N96"/>
  <c r="M95"/>
  <c r="L95"/>
  <c r="N94"/>
  <c r="M93"/>
  <c r="N93" s="1"/>
  <c r="N92"/>
  <c r="N91"/>
  <c r="N90"/>
  <c r="N89"/>
  <c r="N88"/>
  <c r="N87"/>
  <c r="N86"/>
  <c r="N85"/>
  <c r="N84"/>
  <c r="N83"/>
  <c r="N82"/>
  <c r="N81"/>
  <c r="N80"/>
  <c r="N79"/>
  <c r="N78"/>
  <c r="N77"/>
  <c r="M76"/>
  <c r="N76" s="1"/>
  <c r="L75"/>
  <c r="N74"/>
  <c r="N73"/>
  <c r="N72"/>
  <c r="M71"/>
  <c r="L71"/>
  <c r="N69"/>
  <c r="N68" s="1"/>
  <c r="M68"/>
  <c r="D16" s="1"/>
  <c r="L68"/>
  <c r="C16" s="1"/>
  <c r="N67"/>
  <c r="N66" s="1"/>
  <c r="M66"/>
  <c r="D15" s="1"/>
  <c r="C15" i="48" s="1"/>
  <c r="E15" s="1"/>
  <c r="L66" i="30"/>
  <c r="C15" s="1"/>
  <c r="N65"/>
  <c r="N64"/>
  <c r="N63"/>
  <c r="N62"/>
  <c r="N61"/>
  <c r="N60"/>
  <c r="N59"/>
  <c r="N58"/>
  <c r="N57"/>
  <c r="N56"/>
  <c r="M55"/>
  <c r="D14" s="1"/>
  <c r="L55"/>
  <c r="C14" s="1"/>
  <c r="N54"/>
  <c r="N53"/>
  <c r="N52"/>
  <c r="N51"/>
  <c r="N50"/>
  <c r="N49"/>
  <c r="N48"/>
  <c r="N47"/>
  <c r="N46"/>
  <c r="M45"/>
  <c r="L45"/>
  <c r="N45" s="1"/>
  <c r="N44"/>
  <c r="N43"/>
  <c r="N42"/>
  <c r="N41"/>
  <c r="N40"/>
  <c r="M39"/>
  <c r="L39"/>
  <c r="N39" s="1"/>
  <c r="M38"/>
  <c r="D13" s="1"/>
  <c r="N37"/>
  <c r="N36"/>
  <c r="N35"/>
  <c r="N34"/>
  <c r="N33"/>
  <c r="N32"/>
  <c r="N31"/>
  <c r="N30"/>
  <c r="N29"/>
  <c r="N28"/>
  <c r="M27"/>
  <c r="L27"/>
  <c r="M26"/>
  <c r="M25" s="1"/>
  <c r="L25"/>
  <c r="L24" s="1"/>
  <c r="C10" s="1"/>
  <c r="N23"/>
  <c r="N22"/>
  <c r="N21"/>
  <c r="N20"/>
  <c r="N19"/>
  <c r="N18"/>
  <c r="N17"/>
  <c r="M16"/>
  <c r="L16"/>
  <c r="N15"/>
  <c r="N14" s="1"/>
  <c r="M14"/>
  <c r="L14"/>
  <c r="N13"/>
  <c r="N12"/>
  <c r="N11"/>
  <c r="M10"/>
  <c r="L10"/>
  <c r="E15" i="12" l="1"/>
  <c r="E11" s="1"/>
  <c r="E7" s="1"/>
  <c r="D11"/>
  <c r="D7" s="1"/>
  <c r="C36"/>
  <c r="C13" s="1"/>
  <c r="C9" s="1"/>
  <c r="F12" i="11"/>
  <c r="F13" s="1"/>
  <c r="J13" s="1"/>
  <c r="N10" i="30"/>
  <c r="N27"/>
  <c r="M75"/>
  <c r="M70" s="1"/>
  <c r="D11"/>
  <c r="C11" i="48" s="1"/>
  <c r="E11" s="1"/>
  <c r="C11" i="30"/>
  <c r="C9" s="1"/>
  <c r="N55"/>
  <c r="C13" i="48"/>
  <c r="E13" s="1"/>
  <c r="C16"/>
  <c r="E16" s="1"/>
  <c r="E16" i="30"/>
  <c r="C14" i="48"/>
  <c r="E14" s="1"/>
  <c r="E14" i="30"/>
  <c r="E15"/>
  <c r="N26"/>
  <c r="N71"/>
  <c r="N95"/>
  <c r="M9"/>
  <c r="C11" i="12"/>
  <c r="C7" s="1"/>
  <c r="G16"/>
  <c r="G13"/>
  <c r="G9" s="1"/>
  <c r="E36"/>
  <c r="E13" s="1"/>
  <c r="E9" s="1"/>
  <c r="F36"/>
  <c r="F13" s="1"/>
  <c r="F9" s="1"/>
  <c r="D36"/>
  <c r="D13" s="1"/>
  <c r="D9" s="1"/>
  <c r="F16"/>
  <c r="N16" i="30"/>
  <c r="L9"/>
  <c r="C17" s="1"/>
  <c r="N25"/>
  <c r="M24"/>
  <c r="L38"/>
  <c r="L70"/>
  <c r="L8" l="1"/>
  <c r="F15" i="12"/>
  <c r="F11" s="1"/>
  <c r="F7" s="1"/>
  <c r="J14" i="11"/>
  <c r="G15" i="12"/>
  <c r="G11" s="1"/>
  <c r="G7" s="1"/>
  <c r="K14" i="11"/>
  <c r="N70" i="30"/>
  <c r="N75"/>
  <c r="D17"/>
  <c r="C17" i="48" s="1"/>
  <c r="E17" s="1"/>
  <c r="E11" i="30"/>
  <c r="N9"/>
  <c r="M8"/>
  <c r="M7" s="1"/>
  <c r="N38"/>
  <c r="C13"/>
  <c r="E13" s="1"/>
  <c r="N24"/>
  <c r="D10"/>
  <c r="L7"/>
  <c r="E17" l="1"/>
  <c r="N8"/>
  <c r="C10" i="48"/>
  <c r="D9" i="30"/>
  <c r="E10"/>
  <c r="C8"/>
  <c r="N7"/>
  <c r="E9" l="1"/>
  <c r="D8"/>
  <c r="E8" s="1"/>
  <c r="E10" i="48"/>
  <c r="C9"/>
  <c r="R41" i="24"/>
  <c r="E35" i="19"/>
  <c r="C8" i="48" l="1"/>
  <c r="E8" s="1"/>
  <c r="E9"/>
  <c r="F46" i="19"/>
  <c r="X41" i="24" l="1"/>
  <c r="X42" s="1"/>
  <c r="I12" i="15" l="1"/>
  <c r="I13"/>
  <c r="I14"/>
  <c r="I36" i="8" l="1"/>
  <c r="H34"/>
  <c r="H18"/>
  <c r="I9"/>
  <c r="H9"/>
  <c r="I11"/>
  <c r="H11"/>
  <c r="G34"/>
  <c r="G37" s="1"/>
  <c r="I30"/>
  <c r="H30"/>
  <c r="G11"/>
  <c r="E33"/>
  <c r="E36"/>
  <c r="G32" i="10"/>
  <c r="G19"/>
  <c r="G27" s="1"/>
  <c r="G20"/>
  <c r="G28" s="1"/>
  <c r="F20"/>
  <c r="F28" s="1"/>
  <c r="F19"/>
  <c r="F27" s="1"/>
  <c r="D30"/>
  <c r="G13" i="11"/>
  <c r="K13" s="1"/>
  <c r="G9"/>
  <c r="F9"/>
  <c r="D31" i="13"/>
  <c r="D34"/>
  <c r="G8" i="11"/>
  <c r="S44" i="70"/>
  <c r="O44"/>
  <c r="O33" i="71"/>
  <c r="O11"/>
  <c r="F36" i="13" l="1"/>
  <c r="F33"/>
  <c r="D31" i="20"/>
  <c r="F17" i="13"/>
  <c r="D29" i="20" l="1"/>
  <c r="Q44" i="24" l="1"/>
  <c r="M43"/>
  <c r="P42"/>
  <c r="V42"/>
  <c r="L42"/>
  <c r="X103" i="27"/>
  <c r="W103"/>
  <c r="U103"/>
  <c r="K42" i="24"/>
  <c r="K41"/>
  <c r="M41"/>
  <c r="AB16" i="27"/>
  <c r="AA16"/>
  <c r="R36" i="24"/>
  <c r="V36"/>
  <c r="V35"/>
  <c r="V34"/>
  <c r="I32"/>
  <c r="R32"/>
  <c r="G72" i="25"/>
  <c r="F71"/>
  <c r="D44"/>
  <c r="D43"/>
  <c r="D42"/>
  <c r="D41"/>
  <c r="D40"/>
  <c r="D39"/>
  <c r="D38"/>
  <c r="F50"/>
  <c r="G50"/>
  <c r="H50"/>
  <c r="I50"/>
  <c r="J50"/>
  <c r="K50"/>
  <c r="F45"/>
  <c r="G45"/>
  <c r="H45"/>
  <c r="I45"/>
  <c r="J45"/>
  <c r="K45"/>
  <c r="F34"/>
  <c r="G34"/>
  <c r="H34"/>
  <c r="I34"/>
  <c r="J34"/>
  <c r="K34"/>
  <c r="F10"/>
  <c r="G10"/>
  <c r="H10"/>
  <c r="I10"/>
  <c r="J10"/>
  <c r="K10"/>
  <c r="N134" i="26"/>
  <c r="N133"/>
  <c r="N131"/>
  <c r="N129"/>
  <c r="N128"/>
  <c r="N125"/>
  <c r="E118"/>
  <c r="E95" s="1"/>
  <c r="F118"/>
  <c r="F95" s="1"/>
  <c r="G118"/>
  <c r="G95" s="1"/>
  <c r="H118"/>
  <c r="H95" s="1"/>
  <c r="I118"/>
  <c r="I95" s="1"/>
  <c r="J118"/>
  <c r="J95" s="1"/>
  <c r="K118"/>
  <c r="K95" s="1"/>
  <c r="L118"/>
  <c r="L95" s="1"/>
  <c r="M118"/>
  <c r="M95" s="1"/>
  <c r="O118"/>
  <c r="P118"/>
  <c r="P95" s="1"/>
  <c r="Q118"/>
  <c r="Q95" s="1"/>
  <c r="R118"/>
  <c r="R95" s="1"/>
  <c r="D118"/>
  <c r="D95" s="1"/>
  <c r="C119"/>
  <c r="C120"/>
  <c r="C121"/>
  <c r="C122"/>
  <c r="C123"/>
  <c r="C124"/>
  <c r="C125"/>
  <c r="C126"/>
  <c r="C127"/>
  <c r="C128"/>
  <c r="C129"/>
  <c r="C130"/>
  <c r="C131"/>
  <c r="C132"/>
  <c r="C133"/>
  <c r="C134"/>
  <c r="O98"/>
  <c r="O95" l="1"/>
  <c r="I9" i="25"/>
  <c r="I8" s="1"/>
  <c r="H9"/>
  <c r="H8" s="1"/>
  <c r="R42" i="24"/>
  <c r="J9" i="25"/>
  <c r="J8" s="1"/>
  <c r="F9"/>
  <c r="F8" s="1"/>
  <c r="K9"/>
  <c r="K8" s="1"/>
  <c r="G9"/>
  <c r="N118" i="26"/>
  <c r="N106"/>
  <c r="N44"/>
  <c r="N39"/>
  <c r="B133"/>
  <c r="B134"/>
  <c r="B119"/>
  <c r="B120"/>
  <c r="B121"/>
  <c r="B122"/>
  <c r="B123"/>
  <c r="B124"/>
  <c r="B125"/>
  <c r="B126"/>
  <c r="B127"/>
  <c r="B128"/>
  <c r="B129"/>
  <c r="B130"/>
  <c r="B131"/>
  <c r="B132"/>
  <c r="C39"/>
  <c r="C40"/>
  <c r="C41"/>
  <c r="C42"/>
  <c r="C43"/>
  <c r="C44"/>
  <c r="C45"/>
  <c r="C46"/>
  <c r="C47"/>
  <c r="C48"/>
  <c r="C49"/>
  <c r="C50"/>
  <c r="C51"/>
  <c r="C52"/>
  <c r="C53"/>
  <c r="E37"/>
  <c r="E10" s="1"/>
  <c r="F37"/>
  <c r="F10" s="1"/>
  <c r="G37"/>
  <c r="G10" s="1"/>
  <c r="H37"/>
  <c r="I37"/>
  <c r="I10" s="1"/>
  <c r="J37"/>
  <c r="J10" s="1"/>
  <c r="K37"/>
  <c r="K10" s="1"/>
  <c r="L37"/>
  <c r="L10" s="1"/>
  <c r="M37"/>
  <c r="M10" s="1"/>
  <c r="O37"/>
  <c r="P37"/>
  <c r="P10" s="1"/>
  <c r="Q37"/>
  <c r="R37"/>
  <c r="R10" s="1"/>
  <c r="D37"/>
  <c r="C38"/>
  <c r="E90"/>
  <c r="E70" s="1"/>
  <c r="F90"/>
  <c r="F70" s="1"/>
  <c r="G90"/>
  <c r="G70" s="1"/>
  <c r="H90"/>
  <c r="H70" s="1"/>
  <c r="I90"/>
  <c r="I70" s="1"/>
  <c r="J90"/>
  <c r="J70" s="1"/>
  <c r="K90"/>
  <c r="K70" s="1"/>
  <c r="L90"/>
  <c r="L70" s="1"/>
  <c r="M90"/>
  <c r="M70" s="1"/>
  <c r="N90"/>
  <c r="N70" s="1"/>
  <c r="O90"/>
  <c r="O70" s="1"/>
  <c r="P90"/>
  <c r="P70" s="1"/>
  <c r="Q90"/>
  <c r="Q70" s="1"/>
  <c r="R90"/>
  <c r="R70" s="1"/>
  <c r="D90"/>
  <c r="D70" s="1"/>
  <c r="C92"/>
  <c r="C91"/>
  <c r="B171"/>
  <c r="C88"/>
  <c r="D68" i="25" s="1"/>
  <c r="C89" i="26"/>
  <c r="D69" i="25" s="1"/>
  <c r="B89" i="26"/>
  <c r="B170" s="1"/>
  <c r="D27"/>
  <c r="Q27"/>
  <c r="C26"/>
  <c r="C28"/>
  <c r="C29"/>
  <c r="B28"/>
  <c r="H25"/>
  <c r="C25" s="1"/>
  <c r="B25"/>
  <c r="E171"/>
  <c r="E151" s="1"/>
  <c r="F171"/>
  <c r="F151" s="1"/>
  <c r="G171"/>
  <c r="G151" s="1"/>
  <c r="H171"/>
  <c r="H151" s="1"/>
  <c r="I171"/>
  <c r="I151" s="1"/>
  <c r="J171"/>
  <c r="J151" s="1"/>
  <c r="K171"/>
  <c r="K151" s="1"/>
  <c r="L171"/>
  <c r="L151" s="1"/>
  <c r="M171"/>
  <c r="M151" s="1"/>
  <c r="N171"/>
  <c r="N151" s="1"/>
  <c r="O171"/>
  <c r="O151" s="1"/>
  <c r="P171"/>
  <c r="P151" s="1"/>
  <c r="Q171"/>
  <c r="Q151" s="1"/>
  <c r="R171"/>
  <c r="R151" s="1"/>
  <c r="D171"/>
  <c r="D151" s="1"/>
  <c r="C170"/>
  <c r="C175"/>
  <c r="D55"/>
  <c r="D54" s="1"/>
  <c r="E55"/>
  <c r="E54" s="1"/>
  <c r="F55"/>
  <c r="G55"/>
  <c r="H55"/>
  <c r="H54" s="1"/>
  <c r="I55"/>
  <c r="I54" s="1"/>
  <c r="J55"/>
  <c r="J54" s="1"/>
  <c r="K55"/>
  <c r="K54" s="1"/>
  <c r="L55"/>
  <c r="L54" s="1"/>
  <c r="M55"/>
  <c r="M54" s="1"/>
  <c r="N55"/>
  <c r="N54" s="1"/>
  <c r="O55"/>
  <c r="O54" s="1"/>
  <c r="P55"/>
  <c r="P54" s="1"/>
  <c r="Q55"/>
  <c r="Q54" s="1"/>
  <c r="R55"/>
  <c r="R54" s="1"/>
  <c r="O13"/>
  <c r="N21"/>
  <c r="C169"/>
  <c r="C168"/>
  <c r="C167"/>
  <c r="C166"/>
  <c r="C165"/>
  <c r="C164"/>
  <c r="C163"/>
  <c r="C162"/>
  <c r="C161"/>
  <c r="C160"/>
  <c r="C159"/>
  <c r="C158"/>
  <c r="C157"/>
  <c r="C156"/>
  <c r="C155"/>
  <c r="C154"/>
  <c r="C153"/>
  <c r="C152"/>
  <c r="C150"/>
  <c r="C149"/>
  <c r="C148"/>
  <c r="C147"/>
  <c r="R146"/>
  <c r="Q146"/>
  <c r="P146"/>
  <c r="O146"/>
  <c r="N146"/>
  <c r="M146"/>
  <c r="L146"/>
  <c r="K146"/>
  <c r="J146"/>
  <c r="I146"/>
  <c r="H146"/>
  <c r="G146"/>
  <c r="F146"/>
  <c r="E146"/>
  <c r="D146"/>
  <c r="C145"/>
  <c r="C144"/>
  <c r="C143"/>
  <c r="C142"/>
  <c r="C141"/>
  <c r="C140"/>
  <c r="C139"/>
  <c r="C138"/>
  <c r="C137"/>
  <c r="C136"/>
  <c r="R135"/>
  <c r="Q135"/>
  <c r="P135"/>
  <c r="O135"/>
  <c r="N135"/>
  <c r="M135"/>
  <c r="L135"/>
  <c r="K135"/>
  <c r="J135"/>
  <c r="I135"/>
  <c r="H135"/>
  <c r="G135"/>
  <c r="F135"/>
  <c r="E135"/>
  <c r="D135"/>
  <c r="C118"/>
  <c r="C117"/>
  <c r="C116"/>
  <c r="C115"/>
  <c r="C114"/>
  <c r="C113"/>
  <c r="C112"/>
  <c r="C111"/>
  <c r="C110"/>
  <c r="C109"/>
  <c r="C108"/>
  <c r="C107"/>
  <c r="C106"/>
  <c r="C105"/>
  <c r="C104"/>
  <c r="C103"/>
  <c r="C102"/>
  <c r="C101"/>
  <c r="C100"/>
  <c r="C99"/>
  <c r="C98"/>
  <c r="C97"/>
  <c r="C96"/>
  <c r="F54"/>
  <c r="G54"/>
  <c r="D65"/>
  <c r="E65"/>
  <c r="F65"/>
  <c r="G65"/>
  <c r="H65"/>
  <c r="I65"/>
  <c r="J65"/>
  <c r="K65"/>
  <c r="L65"/>
  <c r="M65"/>
  <c r="N65"/>
  <c r="O65"/>
  <c r="P65"/>
  <c r="Q65"/>
  <c r="R65"/>
  <c r="C67"/>
  <c r="D47" i="25" s="1"/>
  <c r="C68" i="26"/>
  <c r="D48" i="25" s="1"/>
  <c r="C69" i="26"/>
  <c r="D49" i="25" s="1"/>
  <c r="C71" i="26"/>
  <c r="D51" i="25" s="1"/>
  <c r="C72" i="26"/>
  <c r="D52" i="25" s="1"/>
  <c r="C73" i="26"/>
  <c r="D53" i="25" s="1"/>
  <c r="C74" i="26"/>
  <c r="D54" i="25" s="1"/>
  <c r="C75" i="26"/>
  <c r="D55" i="25" s="1"/>
  <c r="C76" i="26"/>
  <c r="D56" i="25" s="1"/>
  <c r="C77" i="26"/>
  <c r="D57" i="25" s="1"/>
  <c r="C78" i="26"/>
  <c r="D58" i="25" s="1"/>
  <c r="C79" i="26"/>
  <c r="D59" i="25" s="1"/>
  <c r="C80" i="26"/>
  <c r="D60" i="25" s="1"/>
  <c r="C81" i="26"/>
  <c r="D61" i="25" s="1"/>
  <c r="C82" i="26"/>
  <c r="D62" i="25" s="1"/>
  <c r="C83" i="26"/>
  <c r="D63" i="25" s="1"/>
  <c r="C84" i="26"/>
  <c r="D64" i="25" s="1"/>
  <c r="C85" i="26"/>
  <c r="D65" i="25" s="1"/>
  <c r="C86" i="26"/>
  <c r="D66" i="25" s="1"/>
  <c r="C87" i="26"/>
  <c r="D67" i="25" s="1"/>
  <c r="C66" i="26"/>
  <c r="D46" i="25" s="1"/>
  <c r="C56" i="26"/>
  <c r="C57"/>
  <c r="C58"/>
  <c r="C59"/>
  <c r="C60"/>
  <c r="C61"/>
  <c r="C62"/>
  <c r="C63"/>
  <c r="C64"/>
  <c r="B36"/>
  <c r="B117" s="1"/>
  <c r="B37"/>
  <c r="B118" s="1"/>
  <c r="C13"/>
  <c r="C14"/>
  <c r="C15"/>
  <c r="C16"/>
  <c r="C17"/>
  <c r="C18"/>
  <c r="C19"/>
  <c r="C20"/>
  <c r="C21"/>
  <c r="C22"/>
  <c r="C23"/>
  <c r="C30"/>
  <c r="C31"/>
  <c r="C32"/>
  <c r="C33"/>
  <c r="C34"/>
  <c r="C35"/>
  <c r="C36"/>
  <c r="C12"/>
  <c r="C11"/>
  <c r="D11" i="25" s="1"/>
  <c r="D13" i="10"/>
  <c r="D11"/>
  <c r="C19"/>
  <c r="C27" s="1"/>
  <c r="C13"/>
  <c r="C14"/>
  <c r="C15"/>
  <c r="C11"/>
  <c r="E33" i="34"/>
  <c r="D54"/>
  <c r="Q10" i="26" l="1"/>
  <c r="Q9" s="1"/>
  <c r="N37"/>
  <c r="N10" s="1"/>
  <c r="N9" s="1"/>
  <c r="D15" i="10"/>
  <c r="D10" i="11"/>
  <c r="E20" i="10"/>
  <c r="E28" s="1"/>
  <c r="D20"/>
  <c r="D28" s="1"/>
  <c r="D45" i="25"/>
  <c r="O10" i="26"/>
  <c r="O9" s="1"/>
  <c r="D10"/>
  <c r="D9" s="1"/>
  <c r="C95"/>
  <c r="C70"/>
  <c r="N95"/>
  <c r="N94" s="1"/>
  <c r="C90"/>
  <c r="D70" i="25" s="1"/>
  <c r="D50" s="1"/>
  <c r="C37" i="26"/>
  <c r="D33" i="25" s="1"/>
  <c r="P94" i="26"/>
  <c r="H94"/>
  <c r="L94"/>
  <c r="C135"/>
  <c r="H24"/>
  <c r="H10" s="1"/>
  <c r="C27"/>
  <c r="I9"/>
  <c r="C55"/>
  <c r="D94"/>
  <c r="O94"/>
  <c r="K94"/>
  <c r="G94"/>
  <c r="P9"/>
  <c r="L9"/>
  <c r="F9"/>
  <c r="E94"/>
  <c r="I94"/>
  <c r="M94"/>
  <c r="Q94"/>
  <c r="C151"/>
  <c r="M9"/>
  <c r="K9"/>
  <c r="G9"/>
  <c r="J9"/>
  <c r="R9"/>
  <c r="C65"/>
  <c r="C146"/>
  <c r="F94"/>
  <c r="J94"/>
  <c r="R94"/>
  <c r="C171"/>
  <c r="E9"/>
  <c r="E30" i="34"/>
  <c r="E29" s="1"/>
  <c r="E36"/>
  <c r="C54"/>
  <c r="D25"/>
  <c r="D24"/>
  <c r="D23"/>
  <c r="E16"/>
  <c r="D17"/>
  <c r="D8" i="26" l="1"/>
  <c r="I8"/>
  <c r="L8"/>
  <c r="C54"/>
  <c r="D35" i="25"/>
  <c r="P8" i="26"/>
  <c r="G8"/>
  <c r="K8"/>
  <c r="Q8"/>
  <c r="H9"/>
  <c r="H8" s="1"/>
  <c r="C24"/>
  <c r="O8"/>
  <c r="F8"/>
  <c r="J8"/>
  <c r="M8"/>
  <c r="C94"/>
  <c r="R8"/>
  <c r="E8"/>
  <c r="N8"/>
  <c r="E28" i="34"/>
  <c r="D34" i="25" l="1"/>
  <c r="C10" i="26"/>
  <c r="C9" s="1"/>
  <c r="C8" s="1"/>
  <c r="G62" i="14" l="1"/>
  <c r="D19" i="25" l="1"/>
  <c r="D20"/>
  <c r="D21"/>
  <c r="D22"/>
  <c r="D23"/>
  <c r="D24"/>
  <c r="D25"/>
  <c r="D26"/>
  <c r="D27"/>
  <c r="D28"/>
  <c r="D29"/>
  <c r="D30"/>
  <c r="D31"/>
  <c r="D32"/>
  <c r="D18"/>
  <c r="D17"/>
  <c r="D16"/>
  <c r="D15"/>
  <c r="D14"/>
  <c r="D13"/>
  <c r="D12"/>
  <c r="D10" l="1"/>
  <c r="D9" s="1"/>
  <c r="D8" s="1"/>
  <c r="R142" i="27"/>
  <c r="R101"/>
  <c r="R125"/>
  <c r="P124"/>
  <c r="R123"/>
  <c r="H121"/>
  <c r="F120"/>
  <c r="R120"/>
  <c r="R119"/>
  <c r="F119"/>
  <c r="G118"/>
  <c r="P105"/>
  <c r="P99"/>
  <c r="Q77"/>
  <c r="P70"/>
  <c r="P39"/>
  <c r="M15"/>
  <c r="AA15"/>
  <c r="AB15"/>
  <c r="P15"/>
  <c r="D73"/>
  <c r="M113" l="1"/>
  <c r="O113" s="1"/>
  <c r="M44"/>
  <c r="M43"/>
  <c r="M32"/>
  <c r="M31"/>
  <c r="M28"/>
  <c r="M27"/>
  <c r="M18"/>
  <c r="M29" l="1"/>
  <c r="Z142"/>
  <c r="Z120"/>
  <c r="Z119"/>
  <c r="X104"/>
  <c r="X70"/>
  <c r="X142"/>
  <c r="X120"/>
  <c r="X118"/>
  <c r="X119"/>
  <c r="V104"/>
  <c r="D22" i="69"/>
  <c r="P104" i="27" l="1"/>
  <c r="V103"/>
  <c r="D17" i="69"/>
  <c r="Q70" i="27" l="1"/>
  <c r="H57"/>
  <c r="H56"/>
  <c r="H54"/>
  <c r="D74"/>
  <c r="L15"/>
  <c r="M92"/>
  <c r="M42"/>
  <c r="O15" l="1"/>
  <c r="O16"/>
  <c r="O17"/>
  <c r="O18"/>
  <c r="O19"/>
  <c r="O20"/>
  <c r="O21"/>
  <c r="N45"/>
  <c r="N44"/>
  <c r="N43"/>
  <c r="N42"/>
  <c r="P54"/>
  <c r="P81"/>
  <c r="P93"/>
  <c r="P40"/>
  <c r="P23"/>
  <c r="P30"/>
  <c r="M30"/>
  <c r="D111"/>
  <c r="C142" l="1"/>
  <c r="E70" i="25" s="1"/>
  <c r="C70" s="1"/>
  <c r="C141" i="27"/>
  <c r="E69" i="25" s="1"/>
  <c r="C69" s="1"/>
  <c r="C140" i="27"/>
  <c r="E68" i="25" s="1"/>
  <c r="C68" s="1"/>
  <c r="C139" i="27"/>
  <c r="E67" i="25" s="1"/>
  <c r="C67" s="1"/>
  <c r="C138" i="27"/>
  <c r="E66" i="25" s="1"/>
  <c r="C66" s="1"/>
  <c r="C137" i="27"/>
  <c r="E65" i="25" s="1"/>
  <c r="C65" s="1"/>
  <c r="C136" i="27"/>
  <c r="E64" i="25" s="1"/>
  <c r="C64" s="1"/>
  <c r="C135" i="27"/>
  <c r="E63" i="25" s="1"/>
  <c r="C63" s="1"/>
  <c r="C134" i="27"/>
  <c r="E62" i="25" s="1"/>
  <c r="C62" s="1"/>
  <c r="C133" i="27"/>
  <c r="E61" i="25" s="1"/>
  <c r="C61" s="1"/>
  <c r="C132" i="27"/>
  <c r="E60" i="25" s="1"/>
  <c r="C60" s="1"/>
  <c r="C131" i="27"/>
  <c r="E59" i="25" s="1"/>
  <c r="C59" s="1"/>
  <c r="C130" i="27"/>
  <c r="E58" i="25" s="1"/>
  <c r="C58" s="1"/>
  <c r="C129" i="27"/>
  <c r="E57" i="25" s="1"/>
  <c r="C57" s="1"/>
  <c r="C128" i="27"/>
  <c r="E56" i="25" s="1"/>
  <c r="C56" s="1"/>
  <c r="C127" i="27"/>
  <c r="E55" i="25" s="1"/>
  <c r="C55" s="1"/>
  <c r="C126" i="27"/>
  <c r="E54" i="25" s="1"/>
  <c r="C54" s="1"/>
  <c r="C125" i="27"/>
  <c r="E53" i="25" s="1"/>
  <c r="C53" s="1"/>
  <c r="C124" i="27"/>
  <c r="E52" i="25" s="1"/>
  <c r="C52" s="1"/>
  <c r="C123" i="27"/>
  <c r="E51" i="25" s="1"/>
  <c r="R122" i="27"/>
  <c r="Q122"/>
  <c r="P122"/>
  <c r="O122"/>
  <c r="N122"/>
  <c r="M122"/>
  <c r="L122"/>
  <c r="K122"/>
  <c r="J122"/>
  <c r="I122"/>
  <c r="H122"/>
  <c r="G122"/>
  <c r="F122"/>
  <c r="E122"/>
  <c r="D122"/>
  <c r="C121"/>
  <c r="E49" i="25" s="1"/>
  <c r="C49" s="1"/>
  <c r="C120" i="27"/>
  <c r="E48" i="25" s="1"/>
  <c r="C48" s="1"/>
  <c r="C119" i="27"/>
  <c r="E47" i="25" s="1"/>
  <c r="C47" s="1"/>
  <c r="C118" i="27"/>
  <c r="E46" i="25" s="1"/>
  <c r="R117" i="27"/>
  <c r="Q117"/>
  <c r="P117"/>
  <c r="O117"/>
  <c r="N117"/>
  <c r="M117"/>
  <c r="L117"/>
  <c r="K117"/>
  <c r="J117"/>
  <c r="I117"/>
  <c r="H117"/>
  <c r="F117"/>
  <c r="E117"/>
  <c r="D117"/>
  <c r="C116"/>
  <c r="E44" i="25" s="1"/>
  <c r="C44" s="1"/>
  <c r="C115" i="27"/>
  <c r="E43" i="25" s="1"/>
  <c r="C43" s="1"/>
  <c r="C114" i="27"/>
  <c r="E42" i="25" s="1"/>
  <c r="C42" s="1"/>
  <c r="C113" i="27"/>
  <c r="C112"/>
  <c r="R111"/>
  <c r="Q111"/>
  <c r="P111"/>
  <c r="O111"/>
  <c r="N111"/>
  <c r="M111"/>
  <c r="L111"/>
  <c r="K111"/>
  <c r="J111"/>
  <c r="I111"/>
  <c r="H111"/>
  <c r="G111"/>
  <c r="F111"/>
  <c r="E111"/>
  <c r="C110"/>
  <c r="E40" i="25" s="1"/>
  <c r="C40" s="1"/>
  <c r="C109" i="27"/>
  <c r="C108"/>
  <c r="R107"/>
  <c r="Q107"/>
  <c r="P107"/>
  <c r="O107"/>
  <c r="N107"/>
  <c r="M107"/>
  <c r="L107"/>
  <c r="K107"/>
  <c r="J107"/>
  <c r="I107"/>
  <c r="H107"/>
  <c r="G107"/>
  <c r="F107"/>
  <c r="E107"/>
  <c r="D107"/>
  <c r="C106"/>
  <c r="E38" i="25" s="1"/>
  <c r="C38" s="1"/>
  <c r="C105" i="27"/>
  <c r="E37" i="25" s="1"/>
  <c r="C37" s="1"/>
  <c r="H103" i="27"/>
  <c r="R103"/>
  <c r="Q103"/>
  <c r="P103"/>
  <c r="O103"/>
  <c r="N103"/>
  <c r="M103"/>
  <c r="L103"/>
  <c r="K103"/>
  <c r="J103"/>
  <c r="I103"/>
  <c r="G103"/>
  <c r="F103"/>
  <c r="E103"/>
  <c r="D103"/>
  <c r="C101"/>
  <c r="E33" i="25" s="1"/>
  <c r="C33" s="1"/>
  <c r="C100" i="27"/>
  <c r="E32" i="25" s="1"/>
  <c r="C32" s="1"/>
  <c r="C99" i="27"/>
  <c r="E31" i="25" s="1"/>
  <c r="C31" s="1"/>
  <c r="C98" i="27"/>
  <c r="E30" i="25" s="1"/>
  <c r="C30" s="1"/>
  <c r="C97" i="27"/>
  <c r="C96"/>
  <c r="C95"/>
  <c r="R94"/>
  <c r="Q94"/>
  <c r="P94"/>
  <c r="O94"/>
  <c r="N94"/>
  <c r="M94"/>
  <c r="L94"/>
  <c r="K94"/>
  <c r="J94"/>
  <c r="I94"/>
  <c r="H94"/>
  <c r="G94"/>
  <c r="F94"/>
  <c r="E94"/>
  <c r="D94"/>
  <c r="C93"/>
  <c r="E28" i="25" s="1"/>
  <c r="C28" s="1"/>
  <c r="C92" i="27"/>
  <c r="E27" i="25" s="1"/>
  <c r="C27" s="1"/>
  <c r="C91" i="27"/>
  <c r="C90"/>
  <c r="C89"/>
  <c r="C88"/>
  <c r="C87"/>
  <c r="C86"/>
  <c r="C85"/>
  <c r="C84"/>
  <c r="C83"/>
  <c r="C82"/>
  <c r="C81"/>
  <c r="R80"/>
  <c r="Q80"/>
  <c r="P80"/>
  <c r="O80"/>
  <c r="N80"/>
  <c r="M80"/>
  <c r="L80"/>
  <c r="K80"/>
  <c r="J80"/>
  <c r="I80"/>
  <c r="H80"/>
  <c r="G80"/>
  <c r="F80"/>
  <c r="E80"/>
  <c r="D80"/>
  <c r="C79"/>
  <c r="C78"/>
  <c r="C77"/>
  <c r="C76"/>
  <c r="C75"/>
  <c r="C74"/>
  <c r="C73"/>
  <c r="C72"/>
  <c r="C71"/>
  <c r="C70"/>
  <c r="R69"/>
  <c r="P69"/>
  <c r="O69"/>
  <c r="N69"/>
  <c r="M69"/>
  <c r="L69"/>
  <c r="K69"/>
  <c r="J69"/>
  <c r="I69"/>
  <c r="H69"/>
  <c r="G69"/>
  <c r="F69"/>
  <c r="E69"/>
  <c r="C68"/>
  <c r="C67"/>
  <c r="C66"/>
  <c r="C65"/>
  <c r="C64"/>
  <c r="C63"/>
  <c r="C62"/>
  <c r="C61"/>
  <c r="C60"/>
  <c r="C59"/>
  <c r="C58"/>
  <c r="C57"/>
  <c r="C56"/>
  <c r="C55"/>
  <c r="R53"/>
  <c r="Q53"/>
  <c r="P53"/>
  <c r="O53"/>
  <c r="N53"/>
  <c r="M53"/>
  <c r="L53"/>
  <c r="K53"/>
  <c r="J53"/>
  <c r="I53"/>
  <c r="H53"/>
  <c r="G53"/>
  <c r="F53"/>
  <c r="E53"/>
  <c r="D53"/>
  <c r="C52"/>
  <c r="C51"/>
  <c r="C50"/>
  <c r="C49"/>
  <c r="C48"/>
  <c r="C47"/>
  <c r="R46"/>
  <c r="Q46"/>
  <c r="P46"/>
  <c r="O46"/>
  <c r="N46"/>
  <c r="M46"/>
  <c r="L46"/>
  <c r="K46"/>
  <c r="J46"/>
  <c r="I46"/>
  <c r="H46"/>
  <c r="G46"/>
  <c r="F46"/>
  <c r="E46"/>
  <c r="D46"/>
  <c r="C45"/>
  <c r="E22" i="25" s="1"/>
  <c r="C22" s="1"/>
  <c r="C44" i="27"/>
  <c r="C43"/>
  <c r="R41"/>
  <c r="Q41"/>
  <c r="P41"/>
  <c r="O41"/>
  <c r="L41"/>
  <c r="K41"/>
  <c r="J41"/>
  <c r="I41"/>
  <c r="H41"/>
  <c r="G41"/>
  <c r="F41"/>
  <c r="E41"/>
  <c r="D41"/>
  <c r="C40"/>
  <c r="E20" i="25" s="1"/>
  <c r="C20" s="1"/>
  <c r="C39" i="27"/>
  <c r="E19" i="25" s="1"/>
  <c r="C19" s="1"/>
  <c r="C38" i="27"/>
  <c r="C37"/>
  <c r="R36"/>
  <c r="Q36"/>
  <c r="O36"/>
  <c r="N36"/>
  <c r="M36"/>
  <c r="L36"/>
  <c r="K36"/>
  <c r="J36"/>
  <c r="I36"/>
  <c r="H36"/>
  <c r="G36"/>
  <c r="F36"/>
  <c r="E36"/>
  <c r="D36"/>
  <c r="C35"/>
  <c r="C34"/>
  <c r="R33"/>
  <c r="Q33"/>
  <c r="P33"/>
  <c r="O33"/>
  <c r="N33"/>
  <c r="M33"/>
  <c r="L33"/>
  <c r="K33"/>
  <c r="J33"/>
  <c r="I33"/>
  <c r="H33"/>
  <c r="G33"/>
  <c r="F33"/>
  <c r="E33"/>
  <c r="D33"/>
  <c r="C32"/>
  <c r="C31"/>
  <c r="P29"/>
  <c r="R29"/>
  <c r="Q29"/>
  <c r="O29"/>
  <c r="N29"/>
  <c r="L29"/>
  <c r="K29"/>
  <c r="J29"/>
  <c r="I29"/>
  <c r="H29"/>
  <c r="G29"/>
  <c r="F29"/>
  <c r="E29"/>
  <c r="D29"/>
  <c r="C28"/>
  <c r="C27"/>
  <c r="C26"/>
  <c r="R25"/>
  <c r="Q25"/>
  <c r="P25"/>
  <c r="O25"/>
  <c r="N25"/>
  <c r="M25"/>
  <c r="L25"/>
  <c r="K25"/>
  <c r="J25"/>
  <c r="I25"/>
  <c r="H25"/>
  <c r="G25"/>
  <c r="F25"/>
  <c r="E25"/>
  <c r="D25"/>
  <c r="C24"/>
  <c r="C23"/>
  <c r="R22"/>
  <c r="Q22"/>
  <c r="O22"/>
  <c r="N22"/>
  <c r="M22"/>
  <c r="L22"/>
  <c r="K22"/>
  <c r="J22"/>
  <c r="I22"/>
  <c r="H22"/>
  <c r="G22"/>
  <c r="F22"/>
  <c r="E22"/>
  <c r="D22"/>
  <c r="C21"/>
  <c r="M14"/>
  <c r="R14"/>
  <c r="Q14"/>
  <c r="P14"/>
  <c r="N14"/>
  <c r="L14"/>
  <c r="K14"/>
  <c r="J14"/>
  <c r="I14"/>
  <c r="H14"/>
  <c r="G14"/>
  <c r="F14"/>
  <c r="E14"/>
  <c r="D14"/>
  <c r="C13"/>
  <c r="C12"/>
  <c r="R11"/>
  <c r="Q11"/>
  <c r="P11"/>
  <c r="O11"/>
  <c r="N11"/>
  <c r="M11"/>
  <c r="L11"/>
  <c r="K11"/>
  <c r="J11"/>
  <c r="I11"/>
  <c r="H11"/>
  <c r="G11"/>
  <c r="F11"/>
  <c r="E11"/>
  <c r="D11"/>
  <c r="C10"/>
  <c r="E11" i="25" s="1"/>
  <c r="C11" s="1"/>
  <c r="A103" i="27"/>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B125"/>
  <c r="A126"/>
  <c r="B126"/>
  <c r="A127"/>
  <c r="B127"/>
  <c r="A128"/>
  <c r="B128"/>
  <c r="A129"/>
  <c r="B129"/>
  <c r="A130"/>
  <c r="B130"/>
  <c r="A131"/>
  <c r="B131"/>
  <c r="A132"/>
  <c r="B132"/>
  <c r="A133"/>
  <c r="B133"/>
  <c r="A134"/>
  <c r="B134"/>
  <c r="A135"/>
  <c r="B135"/>
  <c r="A136"/>
  <c r="B136"/>
  <c r="A137"/>
  <c r="B137"/>
  <c r="A138"/>
  <c r="B138"/>
  <c r="A139"/>
  <c r="B139"/>
  <c r="A140"/>
  <c r="B140"/>
  <c r="A141"/>
  <c r="B141"/>
  <c r="A102"/>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1"/>
  <c r="A10"/>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2"/>
  <c r="B13"/>
  <c r="B14"/>
  <c r="B15"/>
  <c r="B16"/>
  <c r="B17"/>
  <c r="B18"/>
  <c r="B19"/>
  <c r="B20"/>
  <c r="B21"/>
  <c r="B22"/>
  <c r="B23"/>
  <c r="B24"/>
  <c r="B25"/>
  <c r="B26"/>
  <c r="B27"/>
  <c r="B28"/>
  <c r="B29"/>
  <c r="B30"/>
  <c r="B31"/>
  <c r="B32"/>
  <c r="B33"/>
  <c r="B34"/>
  <c r="B35"/>
  <c r="B36"/>
  <c r="B37"/>
  <c r="B38"/>
  <c r="B39"/>
  <c r="B40"/>
  <c r="B41"/>
  <c r="B42"/>
  <c r="B43"/>
  <c r="B44"/>
  <c r="B45"/>
  <c r="B46"/>
  <c r="B47"/>
  <c r="B48"/>
  <c r="A9" i="25"/>
  <c r="B9"/>
  <c r="A10"/>
  <c r="A11"/>
  <c r="A12"/>
  <c r="A13"/>
  <c r="A14"/>
  <c r="A15"/>
  <c r="A16"/>
  <c r="A17"/>
  <c r="A18"/>
  <c r="A19"/>
  <c r="A20"/>
  <c r="A21"/>
  <c r="A22"/>
  <c r="A23"/>
  <c r="A24"/>
  <c r="A25"/>
  <c r="A26"/>
  <c r="A27"/>
  <c r="A28"/>
  <c r="A29"/>
  <c r="A30"/>
  <c r="A31"/>
  <c r="A32"/>
  <c r="A34"/>
  <c r="A35"/>
  <c r="A38"/>
  <c r="A39"/>
  <c r="A40"/>
  <c r="A41"/>
  <c r="A42"/>
  <c r="A43"/>
  <c r="A44"/>
  <c r="A45"/>
  <c r="A46"/>
  <c r="A47"/>
  <c r="A48"/>
  <c r="A49"/>
  <c r="A50"/>
  <c r="B8"/>
  <c r="Q102" i="27" l="1"/>
  <c r="E45" i="25"/>
  <c r="C46"/>
  <c r="C45" s="1"/>
  <c r="E102" i="27"/>
  <c r="E50" i="25"/>
  <c r="C51"/>
  <c r="C50" s="1"/>
  <c r="R102" i="27"/>
  <c r="K102"/>
  <c r="O102"/>
  <c r="I102"/>
  <c r="M102"/>
  <c r="G102"/>
  <c r="C53"/>
  <c r="E24" i="25" s="1"/>
  <c r="C24" s="1"/>
  <c r="E9" i="27"/>
  <c r="G9"/>
  <c r="C104"/>
  <c r="E36" i="25" s="1"/>
  <c r="C36" s="1"/>
  <c r="C11" i="27"/>
  <c r="E12" i="25" s="1"/>
  <c r="C12" s="1"/>
  <c r="H9" i="27"/>
  <c r="L9"/>
  <c r="K9"/>
  <c r="C94"/>
  <c r="E29" i="25" s="1"/>
  <c r="C29" s="1"/>
  <c r="I9" i="27"/>
  <c r="C111"/>
  <c r="E41" i="25" s="1"/>
  <c r="C41" s="1"/>
  <c r="G117" i="27"/>
  <c r="C117"/>
  <c r="C14"/>
  <c r="E13" i="25" s="1"/>
  <c r="O14" i="27"/>
  <c r="O9" s="1"/>
  <c r="C107"/>
  <c r="E39" i="25" s="1"/>
  <c r="C39" s="1"/>
  <c r="L102" i="27"/>
  <c r="P102"/>
  <c r="C122"/>
  <c r="F9"/>
  <c r="J9"/>
  <c r="R9"/>
  <c r="C25"/>
  <c r="E15" i="25" s="1"/>
  <c r="C15" s="1"/>
  <c r="C33" i="27"/>
  <c r="E17" i="25" s="1"/>
  <c r="C17" s="1"/>
  <c r="P22" i="27"/>
  <c r="C15"/>
  <c r="P36"/>
  <c r="C36" s="1"/>
  <c r="E18" i="25" s="1"/>
  <c r="C18" s="1"/>
  <c r="N41" i="27"/>
  <c r="N9" s="1"/>
  <c r="C46"/>
  <c r="E23" i="25" s="1"/>
  <c r="C23" s="1"/>
  <c r="C54" i="27"/>
  <c r="D69"/>
  <c r="D9" s="1"/>
  <c r="C80"/>
  <c r="E26" i="25" s="1"/>
  <c r="C26" s="1"/>
  <c r="F102" i="27"/>
  <c r="J102"/>
  <c r="N102"/>
  <c r="C29"/>
  <c r="E16" i="25" s="1"/>
  <c r="C16" s="1"/>
  <c r="H102" i="27"/>
  <c r="C103"/>
  <c r="E35" i="25" s="1"/>
  <c r="C30" i="27"/>
  <c r="C42"/>
  <c r="Q69"/>
  <c r="Q9" s="1"/>
  <c r="M41"/>
  <c r="M9" s="1"/>
  <c r="D102"/>
  <c r="E8" l="1"/>
  <c r="C13" i="25"/>
  <c r="E34"/>
  <c r="C35"/>
  <c r="C34" s="1"/>
  <c r="O8" i="27"/>
  <c r="H8"/>
  <c r="C102"/>
  <c r="K8"/>
  <c r="L8"/>
  <c r="I8"/>
  <c r="Q8"/>
  <c r="M8"/>
  <c r="G8"/>
  <c r="P9"/>
  <c r="P8" s="1"/>
  <c r="N8"/>
  <c r="C22"/>
  <c r="E14" i="25" s="1"/>
  <c r="C14" s="1"/>
  <c r="J8" i="27"/>
  <c r="R8"/>
  <c r="F8"/>
  <c r="C41"/>
  <c r="E21" i="25" s="1"/>
  <c r="C21" s="1"/>
  <c r="D8" i="27"/>
  <c r="C69"/>
  <c r="E25" i="25" s="1"/>
  <c r="C25" s="1"/>
  <c r="C10" l="1"/>
  <c r="C9" s="1"/>
  <c r="C8" s="1"/>
  <c r="E10"/>
  <c r="E9" s="1"/>
  <c r="E8" s="1"/>
  <c r="C9" i="27"/>
  <c r="C8" s="1"/>
  <c r="V31" i="24" l="1"/>
  <c r="F69" i="23" l="1"/>
  <c r="F70"/>
  <c r="F71"/>
  <c r="F72"/>
  <c r="F73"/>
  <c r="F74"/>
  <c r="F75"/>
  <c r="F76"/>
  <c r="F77"/>
  <c r="F78"/>
  <c r="F79"/>
  <c r="F80"/>
  <c r="F68"/>
  <c r="D71"/>
  <c r="D72"/>
  <c r="D73"/>
  <c r="D74"/>
  <c r="D75"/>
  <c r="D76"/>
  <c r="D77"/>
  <c r="D78"/>
  <c r="D79"/>
  <c r="D80"/>
  <c r="E57"/>
  <c r="AC78"/>
  <c r="AC79"/>
  <c r="AC80"/>
  <c r="AC81"/>
  <c r="V30" i="24"/>
  <c r="C57" i="23" l="1"/>
  <c r="D57"/>
  <c r="D12" i="13" l="1"/>
  <c r="E14"/>
  <c r="F14" s="1"/>
  <c r="V39" i="24"/>
  <c r="V29"/>
  <c r="E49" s="1"/>
  <c r="V33"/>
  <c r="U29"/>
  <c r="R31"/>
  <c r="E31" s="1"/>
  <c r="E32"/>
  <c r="R33"/>
  <c r="R34"/>
  <c r="R35"/>
  <c r="R37"/>
  <c r="R38"/>
  <c r="R39"/>
  <c r="R40"/>
  <c r="R43"/>
  <c r="R44"/>
  <c r="R45"/>
  <c r="R46"/>
  <c r="R47"/>
  <c r="R48"/>
  <c r="G83" i="23" l="1"/>
  <c r="D22" i="20" s="1"/>
  <c r="G8" i="25"/>
  <c r="B33"/>
  <c r="B32"/>
  <c r="B88" i="26" l="1"/>
  <c r="B169" s="1"/>
  <c r="B87"/>
  <c r="B168" s="1"/>
  <c r="B86"/>
  <c r="B167" s="1"/>
  <c r="B85"/>
  <c r="B166" s="1"/>
  <c r="B84"/>
  <c r="B165" s="1"/>
  <c r="B83"/>
  <c r="B164" s="1"/>
  <c r="B82"/>
  <c r="B163" s="1"/>
  <c r="B81"/>
  <c r="B162" s="1"/>
  <c r="B80"/>
  <c r="B161" s="1"/>
  <c r="B79"/>
  <c r="B160" s="1"/>
  <c r="B78"/>
  <c r="B159" s="1"/>
  <c r="B77"/>
  <c r="B158" s="1"/>
  <c r="B76"/>
  <c r="B157" s="1"/>
  <c r="B75"/>
  <c r="B156" s="1"/>
  <c r="B74"/>
  <c r="B155" s="1"/>
  <c r="B73"/>
  <c r="B154" s="1"/>
  <c r="B72"/>
  <c r="B153" s="1"/>
  <c r="B71"/>
  <c r="B152" s="1"/>
  <c r="B70"/>
  <c r="B151" s="1"/>
  <c r="B69"/>
  <c r="B150" s="1"/>
  <c r="B68"/>
  <c r="B149" s="1"/>
  <c r="B67"/>
  <c r="B148" s="1"/>
  <c r="B66"/>
  <c r="B147" s="1"/>
  <c r="B65"/>
  <c r="B146" s="1"/>
  <c r="B64"/>
  <c r="B145" s="1"/>
  <c r="B63"/>
  <c r="B144" s="1"/>
  <c r="B62"/>
  <c r="B143" s="1"/>
  <c r="B61"/>
  <c r="B142" s="1"/>
  <c r="B60"/>
  <c r="B141" s="1"/>
  <c r="B59"/>
  <c r="B140" s="1"/>
  <c r="B58"/>
  <c r="B139" s="1"/>
  <c r="B57"/>
  <c r="B138" s="1"/>
  <c r="B56"/>
  <c r="B137" s="1"/>
  <c r="B55"/>
  <c r="B136" s="1"/>
  <c r="B54"/>
  <c r="B135" s="1"/>
  <c r="B35"/>
  <c r="B116" s="1"/>
  <c r="B34"/>
  <c r="B115" s="1"/>
  <c r="B33"/>
  <c r="B114" s="1"/>
  <c r="B32"/>
  <c r="B113" s="1"/>
  <c r="B31"/>
  <c r="B112" s="1"/>
  <c r="B30"/>
  <c r="B111" s="1"/>
  <c r="B27"/>
  <c r="B110" s="1"/>
  <c r="B24"/>
  <c r="B109" s="1"/>
  <c r="B23"/>
  <c r="B108" s="1"/>
  <c r="B22"/>
  <c r="B107" s="1"/>
  <c r="B21"/>
  <c r="B106" s="1"/>
  <c r="B20"/>
  <c r="B105" s="1"/>
  <c r="B19"/>
  <c r="B104" s="1"/>
  <c r="B18"/>
  <c r="B103" s="1"/>
  <c r="B17"/>
  <c r="B102" s="1"/>
  <c r="B16"/>
  <c r="B101" s="1"/>
  <c r="B15"/>
  <c r="B100" s="1"/>
  <c r="B14"/>
  <c r="B99" s="1"/>
  <c r="B13"/>
  <c r="B98" s="1"/>
  <c r="B12"/>
  <c r="B97" s="1"/>
  <c r="B11"/>
  <c r="B96" s="1"/>
  <c r="B10"/>
  <c r="B95" s="1"/>
  <c r="O13" i="24" l="1"/>
  <c r="I10" i="9"/>
  <c r="I27"/>
  <c r="F12" l="1"/>
  <c r="G11"/>
  <c r="G28"/>
  <c r="D27"/>
  <c r="F28" s="1"/>
  <c r="C27"/>
  <c r="D28" l="1"/>
  <c r="E27"/>
  <c r="O26" i="71"/>
  <c r="R1" i="70"/>
  <c r="O4" i="71"/>
  <c r="N1" i="70"/>
  <c r="I1"/>
  <c r="B1"/>
  <c r="R13" l="1"/>
  <c r="R20" s="1"/>
  <c r="R39"/>
  <c r="R33"/>
  <c r="U6"/>
  <c r="U7"/>
  <c r="U8"/>
  <c r="U9"/>
  <c r="U10"/>
  <c r="U14"/>
  <c r="U15"/>
  <c r="U16"/>
  <c r="U17"/>
  <c r="U18"/>
  <c r="U23"/>
  <c r="U28"/>
  <c r="U29"/>
  <c r="U35"/>
  <c r="U38"/>
  <c r="U41"/>
  <c r="U47"/>
  <c r="U49"/>
  <c r="U5"/>
  <c r="Q26" i="71"/>
  <c r="Q5"/>
  <c r="R26" l="1"/>
  <c r="Q11"/>
  <c r="Q32"/>
  <c r="R32" l="1"/>
  <c r="Q27"/>
  <c r="Q6"/>
  <c r="R27" l="1"/>
  <c r="Q7"/>
  <c r="Q28"/>
  <c r="R28" l="1"/>
  <c r="Q29"/>
  <c r="Q8"/>
  <c r="R29" l="1"/>
  <c r="Q9"/>
  <c r="Q30"/>
  <c r="R30" l="1"/>
  <c r="Q31"/>
  <c r="Q10"/>
  <c r="R31" l="1"/>
  <c r="Q12"/>
  <c r="Q33"/>
  <c r="R33" l="1"/>
  <c r="Q25"/>
  <c r="Q4"/>
  <c r="R25" l="1"/>
  <c r="Q39"/>
  <c r="Q18"/>
  <c r="R39" l="1"/>
  <c r="Q13"/>
  <c r="Q34"/>
  <c r="R34" l="1"/>
  <c r="Q35"/>
  <c r="Q14"/>
  <c r="R35" l="1"/>
  <c r="Q15"/>
  <c r="Q36"/>
  <c r="R36" l="1"/>
  <c r="Q37"/>
  <c r="Q16"/>
  <c r="R37" l="1"/>
  <c r="Q38"/>
  <c r="Q17"/>
  <c r="Q19" s="1"/>
  <c r="R38" l="1"/>
  <c r="R40" s="1"/>
  <c r="Q40"/>
  <c r="R18" i="70"/>
  <c r="R15"/>
  <c r="S8"/>
  <c r="T8"/>
  <c r="T7"/>
  <c r="T6"/>
  <c r="T34"/>
  <c r="P34"/>
  <c r="Q7"/>
  <c r="Q8"/>
  <c r="Q10"/>
  <c r="Q14"/>
  <c r="Q15"/>
  <c r="Q16"/>
  <c r="Q17"/>
  <c r="Q18"/>
  <c r="Q19"/>
  <c r="Q23"/>
  <c r="Q28"/>
  <c r="Q29"/>
  <c r="Q35"/>
  <c r="Q38"/>
  <c r="Q41"/>
  <c r="Q47"/>
  <c r="Q49"/>
  <c r="M7"/>
  <c r="M8"/>
  <c r="M10"/>
  <c r="M13"/>
  <c r="M14"/>
  <c r="M15"/>
  <c r="M16"/>
  <c r="M17"/>
  <c r="M18"/>
  <c r="M23"/>
  <c r="M29"/>
  <c r="M35"/>
  <c r="M38"/>
  <c r="M41"/>
  <c r="M42"/>
  <c r="M43"/>
  <c r="M44"/>
  <c r="M47"/>
  <c r="M49"/>
  <c r="R44"/>
  <c r="S41"/>
  <c r="P39"/>
  <c r="J39"/>
  <c r="T27"/>
  <c r="M40" i="71"/>
  <c r="M19"/>
  <c r="N40"/>
  <c r="O40"/>
  <c r="L19"/>
  <c r="N19"/>
  <c r="O19"/>
  <c r="P19" s="1"/>
  <c r="P40" l="1"/>
  <c r="N17" i="69" l="1"/>
  <c r="O17"/>
  <c r="P17"/>
  <c r="Q17"/>
  <c r="R17"/>
  <c r="S17"/>
  <c r="T17"/>
  <c r="U17"/>
  <c r="T16"/>
  <c r="P16"/>
  <c r="S16"/>
  <c r="U16" s="1"/>
  <c r="O16"/>
  <c r="S6"/>
  <c r="S7"/>
  <c r="S8"/>
  <c r="T8" s="1"/>
  <c r="S9"/>
  <c r="S10"/>
  <c r="S11"/>
  <c r="S12"/>
  <c r="T12" s="1"/>
  <c r="U12" s="1"/>
  <c r="S13"/>
  <c r="S5"/>
  <c r="T5" s="1"/>
  <c r="U5" s="1"/>
  <c r="T14"/>
  <c r="U14" s="1"/>
  <c r="T13"/>
  <c r="U13" s="1"/>
  <c r="T11"/>
  <c r="U11" s="1"/>
  <c r="T10"/>
  <c r="U10" s="1"/>
  <c r="T9"/>
  <c r="U9" s="1"/>
  <c r="R8"/>
  <c r="R15" s="1"/>
  <c r="T7"/>
  <c r="U7" s="1"/>
  <c r="T6"/>
  <c r="U6" s="1"/>
  <c r="O6"/>
  <c r="O7"/>
  <c r="P7" s="1"/>
  <c r="Q7" s="1"/>
  <c r="O8"/>
  <c r="P8" s="1"/>
  <c r="O9"/>
  <c r="O10"/>
  <c r="P10" s="1"/>
  <c r="Q10" s="1"/>
  <c r="O11"/>
  <c r="O12"/>
  <c r="P12" s="1"/>
  <c r="Q12" s="1"/>
  <c r="O13"/>
  <c r="O5"/>
  <c r="Q14"/>
  <c r="P14"/>
  <c r="P13"/>
  <c r="Q13" s="1"/>
  <c r="P11"/>
  <c r="Q11" s="1"/>
  <c r="P9"/>
  <c r="Q9" s="1"/>
  <c r="N8"/>
  <c r="N15" s="1"/>
  <c r="P6"/>
  <c r="Q6" s="1"/>
  <c r="P5"/>
  <c r="Q5" s="1"/>
  <c r="L33" i="71"/>
  <c r="L34"/>
  <c r="L35"/>
  <c r="L36"/>
  <c r="L37"/>
  <c r="L38"/>
  <c r="L39"/>
  <c r="L26"/>
  <c r="L27"/>
  <c r="L28"/>
  <c r="L29"/>
  <c r="L30"/>
  <c r="L31"/>
  <c r="L32"/>
  <c r="N44" i="70"/>
  <c r="N37"/>
  <c r="N36"/>
  <c r="C39" i="71"/>
  <c r="D39"/>
  <c r="E39"/>
  <c r="F39"/>
  <c r="G39"/>
  <c r="H39"/>
  <c r="J39" s="1"/>
  <c r="H18"/>
  <c r="I18" s="1"/>
  <c r="G18"/>
  <c r="F18"/>
  <c r="E18"/>
  <c r="D18"/>
  <c r="C18"/>
  <c r="C38"/>
  <c r="D38"/>
  <c r="E38"/>
  <c r="F38"/>
  <c r="G38"/>
  <c r="H38"/>
  <c r="J38" s="1"/>
  <c r="H17"/>
  <c r="I17" s="1"/>
  <c r="G17"/>
  <c r="F17"/>
  <c r="E17"/>
  <c r="D17"/>
  <c r="C17"/>
  <c r="C37"/>
  <c r="D37"/>
  <c r="E37"/>
  <c r="F37"/>
  <c r="G37"/>
  <c r="H37"/>
  <c r="J37" s="1"/>
  <c r="H16"/>
  <c r="I16" s="1"/>
  <c r="G16"/>
  <c r="F16"/>
  <c r="E16"/>
  <c r="D16"/>
  <c r="C16"/>
  <c r="C36"/>
  <c r="D36"/>
  <c r="E36"/>
  <c r="F36"/>
  <c r="G36"/>
  <c r="H36"/>
  <c r="J36" s="1"/>
  <c r="H15"/>
  <c r="J15" s="1"/>
  <c r="G15"/>
  <c r="F15"/>
  <c r="E15"/>
  <c r="D15"/>
  <c r="C15"/>
  <c r="C35"/>
  <c r="D35"/>
  <c r="E35"/>
  <c r="F35"/>
  <c r="G35"/>
  <c r="H35"/>
  <c r="J35" s="1"/>
  <c r="H14"/>
  <c r="I14" s="1"/>
  <c r="G14"/>
  <c r="F14"/>
  <c r="E14"/>
  <c r="D14"/>
  <c r="C14"/>
  <c r="C34"/>
  <c r="D34"/>
  <c r="E34"/>
  <c r="F34"/>
  <c r="G34"/>
  <c r="H34"/>
  <c r="I34" s="1"/>
  <c r="H13"/>
  <c r="J13" s="1"/>
  <c r="G13"/>
  <c r="F13"/>
  <c r="E13"/>
  <c r="D13"/>
  <c r="C13"/>
  <c r="C33"/>
  <c r="D33"/>
  <c r="E33"/>
  <c r="F33"/>
  <c r="G33"/>
  <c r="H33"/>
  <c r="I33" s="1"/>
  <c r="H12"/>
  <c r="I12" s="1"/>
  <c r="G12"/>
  <c r="F12"/>
  <c r="E12"/>
  <c r="D12"/>
  <c r="C12"/>
  <c r="C32"/>
  <c r="D32"/>
  <c r="E32"/>
  <c r="F32"/>
  <c r="G32"/>
  <c r="H32"/>
  <c r="J32" s="1"/>
  <c r="H11"/>
  <c r="I11" s="1"/>
  <c r="G11"/>
  <c r="F11"/>
  <c r="E11"/>
  <c r="D11"/>
  <c r="C11"/>
  <c r="K31"/>
  <c r="K40" s="1"/>
  <c r="C31"/>
  <c r="D31"/>
  <c r="E31"/>
  <c r="F31"/>
  <c r="G31"/>
  <c r="H31"/>
  <c r="I31" s="1"/>
  <c r="H10"/>
  <c r="I10" s="1"/>
  <c r="G10"/>
  <c r="F10"/>
  <c r="E10"/>
  <c r="D10"/>
  <c r="K10"/>
  <c r="K19" s="1"/>
  <c r="C10"/>
  <c r="C30"/>
  <c r="D30"/>
  <c r="E30"/>
  <c r="F30"/>
  <c r="G30"/>
  <c r="H30"/>
  <c r="J30" s="1"/>
  <c r="H9"/>
  <c r="I9" s="1"/>
  <c r="G9"/>
  <c r="F9"/>
  <c r="E9"/>
  <c r="D9"/>
  <c r="C9"/>
  <c r="C29"/>
  <c r="D29"/>
  <c r="E29"/>
  <c r="F29"/>
  <c r="G29"/>
  <c r="U44" i="70" l="1"/>
  <c r="Q44"/>
  <c r="J31" i="71"/>
  <c r="J17"/>
  <c r="I37"/>
  <c r="J9"/>
  <c r="I35"/>
  <c r="I39"/>
  <c r="I36"/>
  <c r="I13"/>
  <c r="J33"/>
  <c r="J11"/>
  <c r="I32"/>
  <c r="I30"/>
  <c r="J10"/>
  <c r="J12"/>
  <c r="J18"/>
  <c r="J34"/>
  <c r="J14"/>
  <c r="I15"/>
  <c r="J16"/>
  <c r="I38"/>
  <c r="L40"/>
  <c r="Q16" i="69"/>
  <c r="T15"/>
  <c r="U8"/>
  <c r="U15" s="1"/>
  <c r="P15"/>
  <c r="Q8"/>
  <c r="Q15" s="1"/>
  <c r="H29" i="71"/>
  <c r="H8"/>
  <c r="G8"/>
  <c r="F8"/>
  <c r="E8"/>
  <c r="D8"/>
  <c r="C8"/>
  <c r="C28"/>
  <c r="D28"/>
  <c r="E28"/>
  <c r="F28"/>
  <c r="G28"/>
  <c r="H28"/>
  <c r="H7"/>
  <c r="G7"/>
  <c r="F7"/>
  <c r="E7"/>
  <c r="D7"/>
  <c r="C7"/>
  <c r="B36"/>
  <c r="B37"/>
  <c r="B38"/>
  <c r="B39"/>
  <c r="C27"/>
  <c r="D27"/>
  <c r="E27"/>
  <c r="F27"/>
  <c r="G27"/>
  <c r="H27"/>
  <c r="B26"/>
  <c r="B27"/>
  <c r="B28"/>
  <c r="B29"/>
  <c r="B30"/>
  <c r="B31"/>
  <c r="B32"/>
  <c r="B33"/>
  <c r="B34"/>
  <c r="B35"/>
  <c r="B25"/>
  <c r="H6"/>
  <c r="G6"/>
  <c r="F6"/>
  <c r="E6"/>
  <c r="D6"/>
  <c r="C6"/>
  <c r="C26"/>
  <c r="D26"/>
  <c r="E26"/>
  <c r="F26"/>
  <c r="G26"/>
  <c r="H26"/>
  <c r="H5"/>
  <c r="G5"/>
  <c r="F5"/>
  <c r="E5"/>
  <c r="D5"/>
  <c r="C5"/>
  <c r="C25"/>
  <c r="D25"/>
  <c r="E25"/>
  <c r="F25"/>
  <c r="G25"/>
  <c r="H25"/>
  <c r="H4"/>
  <c r="G4"/>
  <c r="F4"/>
  <c r="E4"/>
  <c r="D4"/>
  <c r="C4"/>
  <c r="E19" l="1"/>
  <c r="D40"/>
  <c r="I5"/>
  <c r="J5"/>
  <c r="I26"/>
  <c r="J26"/>
  <c r="C40"/>
  <c r="G40"/>
  <c r="F40"/>
  <c r="I6"/>
  <c r="J6"/>
  <c r="J27"/>
  <c r="I27"/>
  <c r="I7"/>
  <c r="J7"/>
  <c r="E40"/>
  <c r="J28"/>
  <c r="I28"/>
  <c r="I8"/>
  <c r="J8"/>
  <c r="D19"/>
  <c r="J29"/>
  <c r="I29"/>
  <c r="H19"/>
  <c r="I4"/>
  <c r="J4"/>
  <c r="I25"/>
  <c r="J25"/>
  <c r="H40"/>
  <c r="C19"/>
  <c r="G19"/>
  <c r="F19"/>
  <c r="J33" i="70"/>
  <c r="R49"/>
  <c r="N49"/>
  <c r="R38"/>
  <c r="S38" s="1"/>
  <c r="S35"/>
  <c r="R35"/>
  <c r="T35" s="1"/>
  <c r="O38"/>
  <c r="N38"/>
  <c r="P35"/>
  <c r="O35"/>
  <c r="N35"/>
  <c r="O28"/>
  <c r="O29"/>
  <c r="N39" l="1"/>
  <c r="I40" i="71"/>
  <c r="I19"/>
  <c r="J19"/>
  <c r="J40"/>
  <c r="T26" i="70"/>
  <c r="P27"/>
  <c r="P26"/>
  <c r="N18"/>
  <c r="N15"/>
  <c r="S10"/>
  <c r="O10"/>
  <c r="U39" l="1"/>
  <c r="Q39"/>
  <c r="O8"/>
  <c r="P7"/>
  <c r="P8"/>
  <c r="P6"/>
  <c r="P9" s="1"/>
  <c r="L29"/>
  <c r="J12" s="1"/>
  <c r="J27"/>
  <c r="J26"/>
  <c r="L27"/>
  <c r="L26"/>
  <c r="K49"/>
  <c r="L49" s="1"/>
  <c r="L47"/>
  <c r="K43"/>
  <c r="K45" s="1"/>
  <c r="J43"/>
  <c r="L43" s="1"/>
  <c r="J42"/>
  <c r="L42"/>
  <c r="L44"/>
  <c r="L41"/>
  <c r="J40"/>
  <c r="K35"/>
  <c r="L37"/>
  <c r="J34"/>
  <c r="J32"/>
  <c r="J37"/>
  <c r="Q37" s="1"/>
  <c r="K32"/>
  <c r="L32"/>
  <c r="L31" s="1"/>
  <c r="T32"/>
  <c r="T31" s="1"/>
  <c r="T50" s="1"/>
  <c r="D30"/>
  <c r="B30"/>
  <c r="B51" s="1"/>
  <c r="I32"/>
  <c r="I31" s="1"/>
  <c r="I50" s="1"/>
  <c r="I39"/>
  <c r="I33"/>
  <c r="P45"/>
  <c r="T45"/>
  <c r="I45"/>
  <c r="I18"/>
  <c r="I13"/>
  <c r="C29"/>
  <c r="C26"/>
  <c r="E47"/>
  <c r="E48"/>
  <c r="E49"/>
  <c r="E46"/>
  <c r="D45"/>
  <c r="E42"/>
  <c r="E43"/>
  <c r="E44"/>
  <c r="E41"/>
  <c r="C45"/>
  <c r="C40"/>
  <c r="D26"/>
  <c r="E35"/>
  <c r="E32"/>
  <c r="E26"/>
  <c r="F50"/>
  <c r="G50"/>
  <c r="H50"/>
  <c r="B50"/>
  <c r="B45"/>
  <c r="C31"/>
  <c r="D31"/>
  <c r="D50" s="1"/>
  <c r="E31"/>
  <c r="E50" s="1"/>
  <c r="B31"/>
  <c r="J18"/>
  <c r="L7"/>
  <c r="L8"/>
  <c r="G64" i="14"/>
  <c r="H7" i="70"/>
  <c r="H8"/>
  <c r="H6"/>
  <c r="H5" s="1"/>
  <c r="F18"/>
  <c r="F13" s="1"/>
  <c r="D13"/>
  <c r="E7"/>
  <c r="E8"/>
  <c r="E6"/>
  <c r="C13"/>
  <c r="C20" s="1"/>
  <c r="E20" s="1"/>
  <c r="E13"/>
  <c r="G13"/>
  <c r="H13"/>
  <c r="K13"/>
  <c r="L13"/>
  <c r="N13"/>
  <c r="O13"/>
  <c r="R25"/>
  <c r="S13"/>
  <c r="T13"/>
  <c r="B25"/>
  <c r="B21"/>
  <c r="B20"/>
  <c r="B13"/>
  <c r="B18"/>
  <c r="D10"/>
  <c r="C9"/>
  <c r="D9"/>
  <c r="F9"/>
  <c r="G9"/>
  <c r="N9"/>
  <c r="O9"/>
  <c r="R9"/>
  <c r="S9"/>
  <c r="T9"/>
  <c r="B9"/>
  <c r="C5"/>
  <c r="D5"/>
  <c r="F5"/>
  <c r="G5"/>
  <c r="N5"/>
  <c r="O5"/>
  <c r="R5"/>
  <c r="S5"/>
  <c r="T5"/>
  <c r="B5"/>
  <c r="K31" l="1"/>
  <c r="J45"/>
  <c r="M45" s="1"/>
  <c r="M40"/>
  <c r="U13"/>
  <c r="Q13"/>
  <c r="J31"/>
  <c r="M31" s="1"/>
  <c r="M32"/>
  <c r="D51"/>
  <c r="S20"/>
  <c r="P5"/>
  <c r="P25"/>
  <c r="P30" s="1"/>
  <c r="K50"/>
  <c r="L45"/>
  <c r="E45"/>
  <c r="C50"/>
  <c r="H9"/>
  <c r="E9"/>
  <c r="E5"/>
  <c r="E25"/>
  <c r="E21"/>
  <c r="D25"/>
  <c r="D21"/>
  <c r="R30"/>
  <c r="R48"/>
  <c r="C25"/>
  <c r="C30" s="1"/>
  <c r="C21"/>
  <c r="O20" l="1"/>
  <c r="U20"/>
  <c r="N25"/>
  <c r="T30"/>
  <c r="T51" s="1"/>
  <c r="S25"/>
  <c r="S30" s="1"/>
  <c r="E30"/>
  <c r="E51" s="1"/>
  <c r="C51"/>
  <c r="Q48" l="1"/>
  <c r="S46"/>
  <c r="S48"/>
  <c r="S32" s="1"/>
  <c r="N30"/>
  <c r="U25"/>
  <c r="U21"/>
  <c r="O25"/>
  <c r="O30" s="1"/>
  <c r="O48"/>
  <c r="U48" l="1"/>
  <c r="O46"/>
  <c r="R46"/>
  <c r="U30"/>
  <c r="R34"/>
  <c r="S31"/>
  <c r="S40" s="1"/>
  <c r="R40" s="1"/>
  <c r="AD23" i="22"/>
  <c r="AD20"/>
  <c r="AD13"/>
  <c r="AD19"/>
  <c r="AD12"/>
  <c r="AD16"/>
  <c r="N46" i="70" l="1"/>
  <c r="U46" s="1"/>
  <c r="S50"/>
  <c r="S51" s="1"/>
  <c r="R43"/>
  <c r="S43" s="1"/>
  <c r="R42"/>
  <c r="R32"/>
  <c r="S1" s="1"/>
  <c r="N34"/>
  <c r="AD15" i="22"/>
  <c r="R45" i="70" l="1"/>
  <c r="S42"/>
  <c r="S45" s="1"/>
  <c r="O31"/>
  <c r="Q34"/>
  <c r="U34"/>
  <c r="R31"/>
  <c r="O40" l="1"/>
  <c r="N40" s="1"/>
  <c r="R50"/>
  <c r="O50" l="1"/>
  <c r="O51" s="1"/>
  <c r="U40"/>
  <c r="Q40"/>
  <c r="N42"/>
  <c r="N43"/>
  <c r="R51"/>
  <c r="O43" l="1"/>
  <c r="Q43"/>
  <c r="N45"/>
  <c r="U42"/>
  <c r="Q42"/>
  <c r="O42"/>
  <c r="AC12" i="23"/>
  <c r="AC13"/>
  <c r="AC14"/>
  <c r="AC26"/>
  <c r="AC68"/>
  <c r="AC69"/>
  <c r="AC70"/>
  <c r="AC71"/>
  <c r="AC72"/>
  <c r="AC73"/>
  <c r="AC74"/>
  <c r="AC75"/>
  <c r="AC76"/>
  <c r="AC77"/>
  <c r="AC84"/>
  <c r="Q45" i="70" l="1"/>
  <c r="U45"/>
  <c r="O45"/>
  <c r="D16" i="69" l="1"/>
  <c r="D26" i="34" l="1"/>
  <c r="L6" i="69"/>
  <c r="L7"/>
  <c r="L9"/>
  <c r="L10"/>
  <c r="L11"/>
  <c r="L12"/>
  <c r="L13"/>
  <c r="L5"/>
  <c r="K6"/>
  <c r="K7"/>
  <c r="K8"/>
  <c r="K9"/>
  <c r="K10"/>
  <c r="K11"/>
  <c r="K12"/>
  <c r="K13"/>
  <c r="K5"/>
  <c r="J8" l="1"/>
  <c r="M7"/>
  <c r="M9"/>
  <c r="M10"/>
  <c r="M11"/>
  <c r="M12"/>
  <c r="M13"/>
  <c r="L14"/>
  <c r="M14" s="1"/>
  <c r="K16"/>
  <c r="L16"/>
  <c r="M16" s="1"/>
  <c r="M6"/>
  <c r="J15" l="1"/>
  <c r="J17" s="1"/>
  <c r="L8"/>
  <c r="M8" s="1"/>
  <c r="M5"/>
  <c r="M15" s="1"/>
  <c r="M17" s="1"/>
  <c r="L15" l="1"/>
  <c r="L17" s="1"/>
  <c r="G21" i="8"/>
  <c r="G20"/>
  <c r="K32" i="19"/>
  <c r="I18"/>
  <c r="I17"/>
  <c r="J12"/>
  <c r="D10"/>
  <c r="D9"/>
  <c r="D37" i="34"/>
  <c r="D16" i="11" s="1"/>
  <c r="D47" i="19"/>
  <c r="E47" s="1"/>
  <c r="D42"/>
  <c r="D40" s="1"/>
  <c r="D39" s="1"/>
  <c r="I13" s="1"/>
  <c r="D34"/>
  <c r="D24"/>
  <c r="D23" s="1"/>
  <c r="I14" s="1"/>
  <c r="I15" l="1"/>
  <c r="E11" i="10"/>
  <c r="D53" i="19"/>
  <c r="D45"/>
  <c r="D43" s="1"/>
  <c r="D23" i="9" l="1"/>
  <c r="D22"/>
  <c r="D21"/>
  <c r="D20"/>
  <c r="D18"/>
  <c r="C23"/>
  <c r="C22"/>
  <c r="C21"/>
  <c r="C20"/>
  <c r="C18"/>
  <c r="X83" i="23"/>
  <c r="X56"/>
  <c r="X55"/>
  <c r="X53"/>
  <c r="X52"/>
  <c r="X44"/>
  <c r="X43"/>
  <c r="X42"/>
  <c r="X41"/>
  <c r="X40"/>
  <c r="X39"/>
  <c r="X38"/>
  <c r="X37"/>
  <c r="X36"/>
  <c r="X35"/>
  <c r="X34"/>
  <c r="X33"/>
  <c r="X32"/>
  <c r="X31"/>
  <c r="X30"/>
  <c r="X19"/>
  <c r="X18"/>
  <c r="X17"/>
  <c r="X16"/>
  <c r="P25" i="42"/>
  <c r="O25"/>
  <c r="L25"/>
  <c r="D22" i="43"/>
  <c r="J25" i="42"/>
  <c r="AA83" i="23"/>
  <c r="AA56"/>
  <c r="AA55"/>
  <c r="AA53"/>
  <c r="AA52"/>
  <c r="AA44"/>
  <c r="AA43"/>
  <c r="AA42"/>
  <c r="AA41"/>
  <c r="AA40"/>
  <c r="AA39"/>
  <c r="AA38"/>
  <c r="AA37"/>
  <c r="AA36"/>
  <c r="AA35"/>
  <c r="AA34"/>
  <c r="AA33"/>
  <c r="AA32"/>
  <c r="AA31"/>
  <c r="AA30"/>
  <c r="AA19"/>
  <c r="AA18"/>
  <c r="AA17"/>
  <c r="AA16"/>
  <c r="O23" i="42"/>
  <c r="L23"/>
  <c r="D20" i="43"/>
  <c r="J23" i="42"/>
  <c r="H23"/>
  <c r="O83" i="23"/>
  <c r="O56"/>
  <c r="O55"/>
  <c r="O53"/>
  <c r="O52"/>
  <c r="O44"/>
  <c r="O43"/>
  <c r="O42"/>
  <c r="O41"/>
  <c r="O40"/>
  <c r="O39"/>
  <c r="O38"/>
  <c r="O37"/>
  <c r="O36"/>
  <c r="O35"/>
  <c r="O34"/>
  <c r="O33"/>
  <c r="O32"/>
  <c r="O31"/>
  <c r="O30"/>
  <c r="O19"/>
  <c r="O18"/>
  <c r="O17"/>
  <c r="O16"/>
  <c r="P11" i="42"/>
  <c r="O11"/>
  <c r="L11"/>
  <c r="J11"/>
  <c r="H11"/>
  <c r="Q83" i="23"/>
  <c r="Q56"/>
  <c r="Q55"/>
  <c r="Q53"/>
  <c r="Q52"/>
  <c r="Q44"/>
  <c r="Q43"/>
  <c r="Q42"/>
  <c r="Q41"/>
  <c r="Q40"/>
  <c r="Q39"/>
  <c r="Q38"/>
  <c r="Q37"/>
  <c r="Q36"/>
  <c r="Q35"/>
  <c r="Q34"/>
  <c r="Q33"/>
  <c r="Q32"/>
  <c r="Q31"/>
  <c r="Q30"/>
  <c r="Q19"/>
  <c r="Q18"/>
  <c r="Q17"/>
  <c r="Q16"/>
  <c r="P17" i="42"/>
  <c r="O17"/>
  <c r="L17"/>
  <c r="D14" i="43"/>
  <c r="J17" i="42"/>
  <c r="H17"/>
  <c r="R83" i="23"/>
  <c r="R56"/>
  <c r="R55"/>
  <c r="R53"/>
  <c r="R52"/>
  <c r="R44"/>
  <c r="R43"/>
  <c r="R42"/>
  <c r="R41"/>
  <c r="R40"/>
  <c r="R39"/>
  <c r="R38"/>
  <c r="R37"/>
  <c r="R36"/>
  <c r="R35"/>
  <c r="R34"/>
  <c r="R33"/>
  <c r="R32"/>
  <c r="R31"/>
  <c r="R30"/>
  <c r="R19"/>
  <c r="R18"/>
  <c r="R17"/>
  <c r="R16"/>
  <c r="O22" i="42"/>
  <c r="L22"/>
  <c r="D19" i="43"/>
  <c r="J22" i="42"/>
  <c r="H22"/>
  <c r="U83" i="23"/>
  <c r="U56"/>
  <c r="U55"/>
  <c r="U53"/>
  <c r="U52"/>
  <c r="U44"/>
  <c r="U43"/>
  <c r="U42"/>
  <c r="U41"/>
  <c r="U40"/>
  <c r="U39"/>
  <c r="U38"/>
  <c r="U37"/>
  <c r="U36"/>
  <c r="U35"/>
  <c r="U34"/>
  <c r="U33"/>
  <c r="U32"/>
  <c r="U31"/>
  <c r="U30"/>
  <c r="U19"/>
  <c r="U18"/>
  <c r="U17"/>
  <c r="U16"/>
  <c r="O21" i="42"/>
  <c r="L21"/>
  <c r="D18" i="43"/>
  <c r="J21" i="42"/>
  <c r="H21"/>
  <c r="Z83" i="23"/>
  <c r="Z56"/>
  <c r="Z55"/>
  <c r="Z53"/>
  <c r="Z52"/>
  <c r="Z44"/>
  <c r="Z43"/>
  <c r="Z42"/>
  <c r="Z41"/>
  <c r="Z40"/>
  <c r="Z39"/>
  <c r="Z38"/>
  <c r="Z37"/>
  <c r="Z36"/>
  <c r="Z35"/>
  <c r="Z34"/>
  <c r="Z33"/>
  <c r="Z32"/>
  <c r="Z31"/>
  <c r="Z30"/>
  <c r="Z19"/>
  <c r="Z18"/>
  <c r="Z17"/>
  <c r="Z16"/>
  <c r="O18" i="42"/>
  <c r="L18"/>
  <c r="D15" i="43"/>
  <c r="J18" i="42"/>
  <c r="H18"/>
  <c r="P83" i="23"/>
  <c r="P56"/>
  <c r="P55"/>
  <c r="P53"/>
  <c r="P52"/>
  <c r="P44"/>
  <c r="P43"/>
  <c r="P42"/>
  <c r="P41"/>
  <c r="P40"/>
  <c r="P39"/>
  <c r="P38"/>
  <c r="P37"/>
  <c r="P36"/>
  <c r="P35"/>
  <c r="P34"/>
  <c r="P33"/>
  <c r="P32"/>
  <c r="P31"/>
  <c r="P30"/>
  <c r="P19"/>
  <c r="P18"/>
  <c r="P17"/>
  <c r="P16"/>
  <c r="O14" i="42"/>
  <c r="L14"/>
  <c r="D11" i="43"/>
  <c r="J14" i="42"/>
  <c r="H14"/>
  <c r="Y83" i="23"/>
  <c r="Y56"/>
  <c r="Y55"/>
  <c r="Y53"/>
  <c r="Y52"/>
  <c r="Y44"/>
  <c r="Y43"/>
  <c r="Y42"/>
  <c r="Y41"/>
  <c r="Y40"/>
  <c r="Y39"/>
  <c r="Y38"/>
  <c r="Y37"/>
  <c r="Y36"/>
  <c r="Y35"/>
  <c r="Y34"/>
  <c r="Y33"/>
  <c r="Y32"/>
  <c r="Y31"/>
  <c r="Y30"/>
  <c r="Y19"/>
  <c r="Y18"/>
  <c r="Y17"/>
  <c r="Y16"/>
  <c r="O15" i="42"/>
  <c r="L15"/>
  <c r="D12" i="43"/>
  <c r="J15" i="42"/>
  <c r="H15"/>
  <c r="E15" l="1"/>
  <c r="E11"/>
  <c r="E14"/>
  <c r="E18"/>
  <c r="E21"/>
  <c r="E22"/>
  <c r="E17"/>
  <c r="R15"/>
  <c r="C12" i="43"/>
  <c r="R23" i="42"/>
  <c r="C20" i="43"/>
  <c r="C22"/>
  <c r="R25" i="42"/>
  <c r="R14"/>
  <c r="C11" i="43"/>
  <c r="C15"/>
  <c r="R18" i="42"/>
  <c r="R21"/>
  <c r="C18" i="43"/>
  <c r="R22" i="42"/>
  <c r="C19" i="43"/>
  <c r="R17" i="42"/>
  <c r="C14" i="43"/>
  <c r="E23" i="42"/>
  <c r="H25"/>
  <c r="E25" s="1"/>
  <c r="E20" i="9"/>
  <c r="E21"/>
  <c r="E18"/>
  <c r="E23"/>
  <c r="AP9" i="22"/>
  <c r="D40" i="34"/>
  <c r="C40" s="1"/>
  <c r="D41"/>
  <c r="C41" s="1"/>
  <c r="D31"/>
  <c r="Q11" i="39"/>
  <c r="M11" s="1"/>
  <c r="N11"/>
  <c r="J11"/>
  <c r="G11"/>
  <c r="D34" i="34" l="1"/>
  <c r="D15" i="11" s="1"/>
  <c r="D35" i="34"/>
  <c r="C35" s="1"/>
  <c r="C31"/>
  <c r="D39"/>
  <c r="F11" i="39"/>
  <c r="D11"/>
  <c r="E11"/>
  <c r="C11" s="1"/>
  <c r="G5" i="69"/>
  <c r="G9"/>
  <c r="G10"/>
  <c r="G11"/>
  <c r="G12"/>
  <c r="G13"/>
  <c r="G16"/>
  <c r="G7"/>
  <c r="G6"/>
  <c r="AI9" i="33"/>
  <c r="D46" i="34" l="1"/>
  <c r="D42"/>
  <c r="C42" s="1"/>
  <c r="D33"/>
  <c r="C33" s="1"/>
  <c r="C34"/>
  <c r="D52"/>
  <c r="C52" s="1"/>
  <c r="D47"/>
  <c r="D53"/>
  <c r="C53" s="1"/>
  <c r="D48"/>
  <c r="C48" s="1"/>
  <c r="D43"/>
  <c r="C43" s="1"/>
  <c r="D44"/>
  <c r="C44" s="1"/>
  <c r="D49"/>
  <c r="C49" s="1"/>
  <c r="D50"/>
  <c r="C50" s="1"/>
  <c r="C39"/>
  <c r="D45"/>
  <c r="C45" s="1"/>
  <c r="D51"/>
  <c r="C51" s="1"/>
  <c r="D38" l="1"/>
  <c r="C47"/>
  <c r="C46"/>
  <c r="D32"/>
  <c r="D20" i="11" s="1"/>
  <c r="F20" s="1"/>
  <c r="G20" l="1"/>
  <c r="H25" i="8"/>
  <c r="D21" i="11"/>
  <c r="F21" s="1"/>
  <c r="F11" s="1"/>
  <c r="C32" i="34"/>
  <c r="D30"/>
  <c r="D29" s="1"/>
  <c r="D22"/>
  <c r="G21" i="11" l="1"/>
  <c r="I26" i="8" s="1"/>
  <c r="H26"/>
  <c r="F12" i="10"/>
  <c r="H12" i="8" s="1"/>
  <c r="I25"/>
  <c r="G12" i="10"/>
  <c r="I12" i="8" s="1"/>
  <c r="C38" i="34"/>
  <c r="D36"/>
  <c r="D28" s="1"/>
  <c r="G11" i="11" l="1"/>
  <c r="G18"/>
  <c r="F18"/>
  <c r="F17" i="10"/>
  <c r="D20" i="34"/>
  <c r="D18" i="11" s="1"/>
  <c r="O20" i="42"/>
  <c r="P20"/>
  <c r="L20"/>
  <c r="D17" i="43"/>
  <c r="J20" i="42"/>
  <c r="H20"/>
  <c r="O19"/>
  <c r="L19"/>
  <c r="D16" i="43"/>
  <c r="J19" i="42"/>
  <c r="H19"/>
  <c r="O16"/>
  <c r="L16"/>
  <c r="D13" i="43"/>
  <c r="E20" i="42" l="1"/>
  <c r="R19"/>
  <c r="C16" i="43"/>
  <c r="C13"/>
  <c r="R16" i="42"/>
  <c r="E19"/>
  <c r="C17" i="43"/>
  <c r="R20" i="42"/>
  <c r="G7" i="11"/>
  <c r="G17" i="10"/>
  <c r="J16" i="42"/>
  <c r="H16" l="1"/>
  <c r="E16" s="1"/>
  <c r="P12" l="1"/>
  <c r="O12"/>
  <c r="L12"/>
  <c r="J12"/>
  <c r="H12"/>
  <c r="E12" l="1"/>
  <c r="Z32" i="24"/>
  <c r="Z33"/>
  <c r="D21" i="20"/>
  <c r="O41" i="24" l="1"/>
  <c r="E45"/>
  <c r="S29" l="1"/>
  <c r="T42"/>
  <c r="T41"/>
  <c r="T29" s="1"/>
  <c r="K30"/>
  <c r="D20" i="20" l="1"/>
  <c r="E10" i="24" s="1"/>
  <c r="D28" i="20"/>
  <c r="D27" s="1"/>
  <c r="D29" i="24"/>
  <c r="D12"/>
  <c r="M47"/>
  <c r="M44"/>
  <c r="M34"/>
  <c r="D11" l="1"/>
  <c r="D9" s="1"/>
  <c r="D19" i="10"/>
  <c r="D27" s="1"/>
  <c r="N44" i="24"/>
  <c r="N35"/>
  <c r="N34"/>
  <c r="E33" l="1"/>
  <c r="E34"/>
  <c r="E35"/>
  <c r="E37"/>
  <c r="E38"/>
  <c r="E39"/>
  <c r="E40"/>
  <c r="E41"/>
  <c r="E42"/>
  <c r="E43"/>
  <c r="E44"/>
  <c r="R49"/>
  <c r="R14"/>
  <c r="R15"/>
  <c r="R16"/>
  <c r="R17"/>
  <c r="R18"/>
  <c r="R19"/>
  <c r="R20"/>
  <c r="R21"/>
  <c r="R22"/>
  <c r="R23"/>
  <c r="R24"/>
  <c r="R25"/>
  <c r="R26"/>
  <c r="R27"/>
  <c r="R28"/>
  <c r="Z25"/>
  <c r="Z20"/>
  <c r="Z15"/>
  <c r="Z13"/>
  <c r="I30"/>
  <c r="R30" s="1"/>
  <c r="O12"/>
  <c r="E30" l="1"/>
  <c r="P13"/>
  <c r="P12" s="1"/>
  <c r="R12" s="1"/>
  <c r="Z12"/>
  <c r="B14" i="69"/>
  <c r="C14"/>
  <c r="E16"/>
  <c r="F12"/>
  <c r="F16"/>
  <c r="D12"/>
  <c r="C16"/>
  <c r="F13"/>
  <c r="E12"/>
  <c r="C12"/>
  <c r="B8"/>
  <c r="D8" s="1"/>
  <c r="B7"/>
  <c r="F7" s="1"/>
  <c r="C10"/>
  <c r="E7"/>
  <c r="E8"/>
  <c r="E9"/>
  <c r="F9" s="1"/>
  <c r="E10"/>
  <c r="E11"/>
  <c r="F11" s="1"/>
  <c r="E13"/>
  <c r="C7"/>
  <c r="C8"/>
  <c r="C9"/>
  <c r="D9" s="1"/>
  <c r="D10"/>
  <c r="C11"/>
  <c r="D11" s="1"/>
  <c r="C13"/>
  <c r="E6"/>
  <c r="F6" s="1"/>
  <c r="C6"/>
  <c r="D7"/>
  <c r="F10"/>
  <c r="D6"/>
  <c r="D5"/>
  <c r="F5"/>
  <c r="E5"/>
  <c r="C5"/>
  <c r="D44" i="67"/>
  <c r="J29" i="24"/>
  <c r="K29"/>
  <c r="L29"/>
  <c r="M29"/>
  <c r="O29"/>
  <c r="P29"/>
  <c r="Q29"/>
  <c r="I29"/>
  <c r="B11" i="27"/>
  <c r="B10"/>
  <c r="B9"/>
  <c r="D8" i="37"/>
  <c r="E8"/>
  <c r="F8"/>
  <c r="G8"/>
  <c r="H8"/>
  <c r="I8"/>
  <c r="J8"/>
  <c r="K8"/>
  <c r="L8"/>
  <c r="M8"/>
  <c r="N8"/>
  <c r="O8"/>
  <c r="P8"/>
  <c r="Q8"/>
  <c r="R8"/>
  <c r="D44"/>
  <c r="E44"/>
  <c r="F44"/>
  <c r="G44"/>
  <c r="H44"/>
  <c r="I44"/>
  <c r="J44"/>
  <c r="K44"/>
  <c r="L44"/>
  <c r="M44"/>
  <c r="N44"/>
  <c r="O44"/>
  <c r="P44"/>
  <c r="Q44"/>
  <c r="R44"/>
  <c r="G44" i="23"/>
  <c r="G43"/>
  <c r="G42"/>
  <c r="G41"/>
  <c r="G40"/>
  <c r="G39"/>
  <c r="G38"/>
  <c r="G37"/>
  <c r="G35"/>
  <c r="G34"/>
  <c r="G32"/>
  <c r="H63"/>
  <c r="G51"/>
  <c r="G45"/>
  <c r="W23" i="28"/>
  <c r="T23"/>
  <c r="R23"/>
  <c r="S23"/>
  <c r="Q23"/>
  <c r="W18"/>
  <c r="T18"/>
  <c r="R18"/>
  <c r="S18"/>
  <c r="Q18"/>
  <c r="W15"/>
  <c r="T15"/>
  <c r="R15"/>
  <c r="S15"/>
  <c r="Q15"/>
  <c r="W25"/>
  <c r="T25"/>
  <c r="R25"/>
  <c r="S25"/>
  <c r="Q25"/>
  <c r="W83" i="23"/>
  <c r="W56"/>
  <c r="W55"/>
  <c r="W53"/>
  <c r="W52"/>
  <c r="W44"/>
  <c r="W43"/>
  <c r="W42"/>
  <c r="W31"/>
  <c r="W32"/>
  <c r="W12" i="28" s="1"/>
  <c r="W33" i="23"/>
  <c r="W34"/>
  <c r="W35"/>
  <c r="W36"/>
  <c r="W37"/>
  <c r="W38"/>
  <c r="W39"/>
  <c r="W40"/>
  <c r="W41"/>
  <c r="W30"/>
  <c r="W19"/>
  <c r="T12" i="28" s="1"/>
  <c r="W18" i="23"/>
  <c r="R12" i="28" s="1"/>
  <c r="W17" i="23"/>
  <c r="S12" i="28" s="1"/>
  <c r="W16" i="23"/>
  <c r="Q12" i="28" s="1"/>
  <c r="V83" i="23"/>
  <c r="V56"/>
  <c r="V55"/>
  <c r="V53"/>
  <c r="V52"/>
  <c r="V43"/>
  <c r="V44"/>
  <c r="V42"/>
  <c r="V32"/>
  <c r="W24" i="28" s="1"/>
  <c r="V33" i="23"/>
  <c r="V34"/>
  <c r="V35"/>
  <c r="V36"/>
  <c r="V37"/>
  <c r="V38"/>
  <c r="V39"/>
  <c r="V40"/>
  <c r="V41"/>
  <c r="V31"/>
  <c r="V30"/>
  <c r="M19"/>
  <c r="T13" i="28" s="1"/>
  <c r="N19" i="23"/>
  <c r="T20" i="28" s="1"/>
  <c r="T11"/>
  <c r="T14"/>
  <c r="T17"/>
  <c r="T22"/>
  <c r="S19" i="23"/>
  <c r="T19" i="28" s="1"/>
  <c r="T19" i="23"/>
  <c r="T16" i="28" s="1"/>
  <c r="T21"/>
  <c r="V19" i="23"/>
  <c r="T24" i="28" s="1"/>
  <c r="V18" i="23"/>
  <c r="R24" i="28" s="1"/>
  <c r="V17" i="23"/>
  <c r="S24" i="28" s="1"/>
  <c r="V16" i="23"/>
  <c r="Q24" i="28" s="1"/>
  <c r="W21"/>
  <c r="R21"/>
  <c r="S21"/>
  <c r="Q21"/>
  <c r="AB45" i="23"/>
  <c r="AC45" s="1"/>
  <c r="AB46"/>
  <c r="AC46" s="1"/>
  <c r="AB47"/>
  <c r="AC47" s="1"/>
  <c r="AB48"/>
  <c r="AC48" s="1"/>
  <c r="AB62"/>
  <c r="AC62" s="1"/>
  <c r="AB64"/>
  <c r="AC64" s="1"/>
  <c r="AB65"/>
  <c r="AC65" s="1"/>
  <c r="AB66"/>
  <c r="AC66" s="1"/>
  <c r="AB67"/>
  <c r="AC67" s="1"/>
  <c r="AB82"/>
  <c r="AC82" s="1"/>
  <c r="AB28"/>
  <c r="AC28" s="1"/>
  <c r="AB21"/>
  <c r="AC21" s="1"/>
  <c r="AB22"/>
  <c r="AC22" s="1"/>
  <c r="AB23"/>
  <c r="AC23" s="1"/>
  <c r="AB24"/>
  <c r="AC24" s="1"/>
  <c r="AB20"/>
  <c r="AC20" s="1"/>
  <c r="G19" l="1"/>
  <c r="G30"/>
  <c r="G50"/>
  <c r="R13" i="24"/>
  <c r="E13" s="1"/>
  <c r="E12" s="1"/>
  <c r="N18" i="28"/>
  <c r="N21"/>
  <c r="N24"/>
  <c r="N12"/>
  <c r="N25"/>
  <c r="N23"/>
  <c r="N15"/>
  <c r="F8" i="69"/>
  <c r="B17"/>
  <c r="G8"/>
  <c r="G17" s="1"/>
  <c r="H61" i="23"/>
  <c r="D13" i="69"/>
  <c r="T10" i="28"/>
  <c r="AB19" i="23"/>
  <c r="T56"/>
  <c r="T55"/>
  <c r="T53"/>
  <c r="T52"/>
  <c r="T44"/>
  <c r="T43"/>
  <c r="T32"/>
  <c r="W16" i="28" s="1"/>
  <c r="T33" i="23"/>
  <c r="T34"/>
  <c r="T35"/>
  <c r="T36"/>
  <c r="T37"/>
  <c r="T38"/>
  <c r="T39"/>
  <c r="T40"/>
  <c r="T41"/>
  <c r="T31"/>
  <c r="T30"/>
  <c r="T17"/>
  <c r="S16" i="28" s="1"/>
  <c r="T18" i="23"/>
  <c r="R16" i="28" s="1"/>
  <c r="T16" i="23"/>
  <c r="Q16" i="28" s="1"/>
  <c r="S56" i="23"/>
  <c r="S55"/>
  <c r="S53"/>
  <c r="S52"/>
  <c r="S44"/>
  <c r="S43"/>
  <c r="S33"/>
  <c r="S34"/>
  <c r="S35"/>
  <c r="S36"/>
  <c r="S37"/>
  <c r="S38"/>
  <c r="S39"/>
  <c r="S40"/>
  <c r="S41"/>
  <c r="S32"/>
  <c r="W19" i="28" s="1"/>
  <c r="S31" i="23"/>
  <c r="S30"/>
  <c r="S18"/>
  <c r="R19" i="28" s="1"/>
  <c r="S16" i="23"/>
  <c r="Q19" i="28" s="1"/>
  <c r="W22"/>
  <c r="R22"/>
  <c r="S22"/>
  <c r="Q22"/>
  <c r="W17"/>
  <c r="R17"/>
  <c r="S17"/>
  <c r="Q17"/>
  <c r="W14"/>
  <c r="U29" i="23"/>
  <c r="V21" i="28" s="1"/>
  <c r="V29" i="23"/>
  <c r="V24" i="28" s="1"/>
  <c r="W29" i="23"/>
  <c r="V12" i="28" s="1"/>
  <c r="X29" i="23"/>
  <c r="V25" i="28" s="1"/>
  <c r="R14"/>
  <c r="S14"/>
  <c r="Q14"/>
  <c r="W11"/>
  <c r="R11"/>
  <c r="Q11"/>
  <c r="N56" i="23"/>
  <c r="N55"/>
  <c r="N53"/>
  <c r="N52"/>
  <c r="N44"/>
  <c r="N43"/>
  <c r="N29"/>
  <c r="V20" i="28" s="1"/>
  <c r="N32" i="23"/>
  <c r="W20" i="28" s="1"/>
  <c r="N33" i="23"/>
  <c r="N34"/>
  <c r="N35"/>
  <c r="N36"/>
  <c r="N37"/>
  <c r="N38"/>
  <c r="N39"/>
  <c r="N40"/>
  <c r="N41"/>
  <c r="N31"/>
  <c r="N30"/>
  <c r="N18"/>
  <c r="R20" i="28" s="1"/>
  <c r="N17" i="23"/>
  <c r="S20" i="28" s="1"/>
  <c r="N16" i="23"/>
  <c r="Q20" i="28" s="1"/>
  <c r="N25" i="23"/>
  <c r="M26"/>
  <c r="M25"/>
  <c r="M56"/>
  <c r="M55"/>
  <c r="M53"/>
  <c r="M52"/>
  <c r="M44"/>
  <c r="M43"/>
  <c r="M30"/>
  <c r="M31"/>
  <c r="M32"/>
  <c r="M33"/>
  <c r="M34"/>
  <c r="M35"/>
  <c r="M36"/>
  <c r="M37"/>
  <c r="M38"/>
  <c r="M39"/>
  <c r="M40"/>
  <c r="M41"/>
  <c r="M29"/>
  <c r="V13" i="28" s="1"/>
  <c r="M18" i="23"/>
  <c r="R13" i="28" s="1"/>
  <c r="M17" i="23"/>
  <c r="S13" i="28" s="1"/>
  <c r="M16" i="23"/>
  <c r="Q13" i="28" s="1"/>
  <c r="AR63" i="23"/>
  <c r="AR61" s="1"/>
  <c r="AQ63"/>
  <c r="AQ61" s="1"/>
  <c r="AP63"/>
  <c r="AP61" s="1"/>
  <c r="AO63"/>
  <c r="AO61" s="1"/>
  <c r="AN63"/>
  <c r="AN61" s="1"/>
  <c r="AM63"/>
  <c r="AM61" s="1"/>
  <c r="AL63"/>
  <c r="AL61" s="1"/>
  <c r="AK63"/>
  <c r="AK61" s="1"/>
  <c r="AJ63"/>
  <c r="AJ61" s="1"/>
  <c r="AI63"/>
  <c r="AI61" s="1"/>
  <c r="AH63"/>
  <c r="AH61" s="1"/>
  <c r="AG63"/>
  <c r="AG61" s="1"/>
  <c r="AF63"/>
  <c r="AF61" s="1"/>
  <c r="AE63"/>
  <c r="AE61" s="1"/>
  <c r="AE49" s="1"/>
  <c r="AD63"/>
  <c r="AD61" s="1"/>
  <c r="AR54"/>
  <c r="AQ54"/>
  <c r="AP54"/>
  <c r="AO54"/>
  <c r="AN54"/>
  <c r="AM54"/>
  <c r="AL54"/>
  <c r="AK54"/>
  <c r="AJ54"/>
  <c r="AI54"/>
  <c r="AH54"/>
  <c r="AG54"/>
  <c r="AF54"/>
  <c r="AE54"/>
  <c r="AD54"/>
  <c r="AF52"/>
  <c r="AF51" s="1"/>
  <c r="AR51"/>
  <c r="AR50" s="1"/>
  <c r="AQ51"/>
  <c r="AQ50" s="1"/>
  <c r="AP51"/>
  <c r="AO51"/>
  <c r="AO50" s="1"/>
  <c r="AN51"/>
  <c r="AN50" s="1"/>
  <c r="AM51"/>
  <c r="AM50" s="1"/>
  <c r="AL51"/>
  <c r="AL50" s="1"/>
  <c r="AK51"/>
  <c r="AK50" s="1"/>
  <c r="AJ51"/>
  <c r="AJ50" s="1"/>
  <c r="AI51"/>
  <c r="AI50" s="1"/>
  <c r="AH51"/>
  <c r="AH50" s="1"/>
  <c r="AG51"/>
  <c r="AG50" s="1"/>
  <c r="AE51"/>
  <c r="AD51"/>
  <c r="AP50"/>
  <c r="AF44"/>
  <c r="AO42"/>
  <c r="AN42"/>
  <c r="AD35"/>
  <c r="AQ33"/>
  <c r="AQ27" s="1"/>
  <c r="AP33"/>
  <c r="AP27" s="1"/>
  <c r="AO33"/>
  <c r="AN33"/>
  <c r="AM33"/>
  <c r="AK33"/>
  <c r="AK27" s="1"/>
  <c r="AJ33"/>
  <c r="AJ27" s="1"/>
  <c r="AG33"/>
  <c r="AG27" s="1"/>
  <c r="AF33"/>
  <c r="AE33"/>
  <c r="AE27" s="1"/>
  <c r="AQ31"/>
  <c r="AG31"/>
  <c r="AO29"/>
  <c r="AN29"/>
  <c r="AM29"/>
  <c r="AL29"/>
  <c r="AF29"/>
  <c r="AF27" s="1"/>
  <c r="AS27"/>
  <c r="AR27"/>
  <c r="AL27"/>
  <c r="AI27"/>
  <c r="AH27"/>
  <c r="AD27"/>
  <c r="AD23"/>
  <c r="AS19"/>
  <c r="AR19"/>
  <c r="AQ19"/>
  <c r="AP19"/>
  <c r="AO19"/>
  <c r="AN19"/>
  <c r="AM19"/>
  <c r="AL19"/>
  <c r="AK19"/>
  <c r="AJ19"/>
  <c r="AI19"/>
  <c r="AH19"/>
  <c r="AG19"/>
  <c r="AF19"/>
  <c r="AE19"/>
  <c r="AD19"/>
  <c r="AS15"/>
  <c r="AR15"/>
  <c r="AQ15"/>
  <c r="AP15"/>
  <c r="AO15"/>
  <c r="AN15"/>
  <c r="AN11" s="1"/>
  <c r="AN10" s="1"/>
  <c r="AM15"/>
  <c r="AM11" s="1"/>
  <c r="AM10" s="1"/>
  <c r="AL15"/>
  <c r="AL11" s="1"/>
  <c r="AL10" s="1"/>
  <c r="AL9" s="1"/>
  <c r="AK15"/>
  <c r="AK11" s="1"/>
  <c r="AK10" s="1"/>
  <c r="AJ15"/>
  <c r="AJ11" s="1"/>
  <c r="AJ10" s="1"/>
  <c r="AI15"/>
  <c r="AI11" s="1"/>
  <c r="AI10" s="1"/>
  <c r="AH15"/>
  <c r="AH11" s="1"/>
  <c r="AH10" s="1"/>
  <c r="AG15"/>
  <c r="AG11" s="1"/>
  <c r="AG10" s="1"/>
  <c r="AF15"/>
  <c r="AF11" s="1"/>
  <c r="AF10" s="1"/>
  <c r="AE15"/>
  <c r="AE11" s="1"/>
  <c r="AE10" s="1"/>
  <c r="AD15"/>
  <c r="AD11" s="1"/>
  <c r="AD10" s="1"/>
  <c r="AS11"/>
  <c r="AS10" s="1"/>
  <c r="AR11"/>
  <c r="AR10" s="1"/>
  <c r="AQ11"/>
  <c r="AQ10" s="1"/>
  <c r="AP11"/>
  <c r="AP10" s="1"/>
  <c r="AO11"/>
  <c r="AO10" s="1"/>
  <c r="N13" i="28" l="1"/>
  <c r="AB11"/>
  <c r="N20"/>
  <c r="N14"/>
  <c r="N17"/>
  <c r="N22"/>
  <c r="N16"/>
  <c r="H19" i="23"/>
  <c r="AC19" s="1"/>
  <c r="AN27"/>
  <c r="AN9" s="1"/>
  <c r="AD50"/>
  <c r="AD49" s="1"/>
  <c r="AI49"/>
  <c r="AM49"/>
  <c r="AF50"/>
  <c r="AF49" s="1"/>
  <c r="AO27"/>
  <c r="AO9" s="1"/>
  <c r="AP49"/>
  <c r="AI9"/>
  <c r="G22" i="69"/>
  <c r="B22"/>
  <c r="AQ49" i="23"/>
  <c r="AD9"/>
  <c r="AH9"/>
  <c r="AJ49"/>
  <c r="AN49"/>
  <c r="AR49"/>
  <c r="AH49"/>
  <c r="AS9"/>
  <c r="AS8" s="1"/>
  <c r="AP9"/>
  <c r="AG9"/>
  <c r="AK9"/>
  <c r="AG49"/>
  <c r="AJ9"/>
  <c r="AR9"/>
  <c r="AR8" s="1"/>
  <c r="AM27"/>
  <c r="AK49"/>
  <c r="AO49"/>
  <c r="AB52"/>
  <c r="AB39"/>
  <c r="AB40"/>
  <c r="AB36"/>
  <c r="AB32"/>
  <c r="W13" i="28"/>
  <c r="AB56" i="23"/>
  <c r="AB34"/>
  <c r="T29"/>
  <c r="V16" i="28" s="1"/>
  <c r="AB33" i="23"/>
  <c r="AB35"/>
  <c r="AB53"/>
  <c r="AB38"/>
  <c r="AB18"/>
  <c r="AB25"/>
  <c r="AC25" s="1"/>
  <c r="R29"/>
  <c r="V22" i="28" s="1"/>
  <c r="S29" i="23"/>
  <c r="V19" i="28" s="1"/>
  <c r="M54" i="23"/>
  <c r="AB55"/>
  <c r="AB16"/>
  <c r="AM9"/>
  <c r="AE9"/>
  <c r="AE8" s="1"/>
  <c r="AF9"/>
  <c r="AQ9"/>
  <c r="AL49"/>
  <c r="AL8" s="1"/>
  <c r="H64" i="14"/>
  <c r="N3"/>
  <c r="K40"/>
  <c r="L44"/>
  <c r="N36"/>
  <c r="M51"/>
  <c r="N51" s="1"/>
  <c r="H32"/>
  <c r="M66"/>
  <c r="N66" s="1"/>
  <c r="N64"/>
  <c r="M64"/>
  <c r="L64"/>
  <c r="M62"/>
  <c r="M63" s="1"/>
  <c r="N62"/>
  <c r="N63" s="1"/>
  <c r="L62"/>
  <c r="L63" s="1"/>
  <c r="N59"/>
  <c r="M59"/>
  <c r="L59"/>
  <c r="M57"/>
  <c r="N57" s="1"/>
  <c r="N58" s="1"/>
  <c r="L58"/>
  <c r="M58" s="1"/>
  <c r="L57"/>
  <c r="M45"/>
  <c r="L43"/>
  <c r="M43"/>
  <c r="N43" s="1"/>
  <c r="N42" s="1"/>
  <c r="N40" s="1"/>
  <c r="L45"/>
  <c r="M44"/>
  <c r="AI8" i="23" l="1"/>
  <c r="AN8"/>
  <c r="AQ8"/>
  <c r="H38"/>
  <c r="AC38" s="1"/>
  <c r="H32"/>
  <c r="AC32" s="1"/>
  <c r="AC52"/>
  <c r="H16"/>
  <c r="AC16" s="1"/>
  <c r="AC53"/>
  <c r="H34"/>
  <c r="H36"/>
  <c r="AC36" s="1"/>
  <c r="H55"/>
  <c r="AC55" s="1"/>
  <c r="H35"/>
  <c r="AC35" s="1"/>
  <c r="AC56"/>
  <c r="H40"/>
  <c r="AC40" s="1"/>
  <c r="H18"/>
  <c r="AC18" s="1"/>
  <c r="H39"/>
  <c r="AC39" s="1"/>
  <c r="AM8"/>
  <c r="AH8"/>
  <c r="AF8"/>
  <c r="AG8"/>
  <c r="AP8"/>
  <c r="AK8"/>
  <c r="AD8"/>
  <c r="AO8"/>
  <c r="AJ8"/>
  <c r="P43" i="14"/>
  <c r="L42"/>
  <c r="L40" s="1"/>
  <c r="K41" s="1"/>
  <c r="M42"/>
  <c r="M40" s="1"/>
  <c r="L38"/>
  <c r="P38" s="1"/>
  <c r="M39"/>
  <c r="L39"/>
  <c r="N61"/>
  <c r="O61" s="1"/>
  <c r="M61"/>
  <c r="L61"/>
  <c r="N44"/>
  <c r="N29"/>
  <c r="O31"/>
  <c r="O32"/>
  <c r="O33"/>
  <c r="O34"/>
  <c r="O35"/>
  <c r="O37"/>
  <c r="O38"/>
  <c r="O39"/>
  <c r="O41"/>
  <c r="O43"/>
  <c r="O44"/>
  <c r="O45"/>
  <c r="O46"/>
  <c r="O47"/>
  <c r="O48"/>
  <c r="O49"/>
  <c r="O50"/>
  <c r="O51"/>
  <c r="O52"/>
  <c r="O53"/>
  <c r="O54"/>
  <c r="O55"/>
  <c r="O56"/>
  <c r="O57"/>
  <c r="O58"/>
  <c r="O59"/>
  <c r="O60"/>
  <c r="O62"/>
  <c r="O63"/>
  <c r="O64"/>
  <c r="O65"/>
  <c r="O66"/>
  <c r="O67"/>
  <c r="O68"/>
  <c r="O30"/>
  <c r="O24"/>
  <c r="O25"/>
  <c r="O26"/>
  <c r="O27"/>
  <c r="O28"/>
  <c r="O23"/>
  <c r="O19"/>
  <c r="O20"/>
  <c r="O21"/>
  <c r="O18"/>
  <c r="O12"/>
  <c r="N22"/>
  <c r="N19"/>
  <c r="N17"/>
  <c r="N12"/>
  <c r="P31"/>
  <c r="P32"/>
  <c r="P33"/>
  <c r="P34"/>
  <c r="P35"/>
  <c r="P37"/>
  <c r="P39"/>
  <c r="P41"/>
  <c r="P45"/>
  <c r="P46"/>
  <c r="P47"/>
  <c r="P48"/>
  <c r="P49"/>
  <c r="P50"/>
  <c r="P51"/>
  <c r="P52"/>
  <c r="P53"/>
  <c r="P54"/>
  <c r="P55"/>
  <c r="P56"/>
  <c r="P57"/>
  <c r="P58"/>
  <c r="P59"/>
  <c r="P60"/>
  <c r="P61"/>
  <c r="P62"/>
  <c r="P63"/>
  <c r="P64"/>
  <c r="P65"/>
  <c r="P66"/>
  <c r="P67"/>
  <c r="P68"/>
  <c r="P30"/>
  <c r="P24"/>
  <c r="P25"/>
  <c r="P26"/>
  <c r="P27"/>
  <c r="P28"/>
  <c r="P23"/>
  <c r="P19"/>
  <c r="P20"/>
  <c r="P21"/>
  <c r="P18"/>
  <c r="P12"/>
  <c r="L19"/>
  <c r="L17" s="1"/>
  <c r="M19"/>
  <c r="M17"/>
  <c r="M36"/>
  <c r="O36" s="1"/>
  <c r="M29"/>
  <c r="L29"/>
  <c r="M22"/>
  <c r="L22"/>
  <c r="M12"/>
  <c r="L12"/>
  <c r="H33" i="23" l="1"/>
  <c r="AC33" s="1"/>
  <c r="AC34"/>
  <c r="H54"/>
  <c r="O29" i="14"/>
  <c r="P17"/>
  <c r="O42"/>
  <c r="O40" s="1"/>
  <c r="P42"/>
  <c r="P40" s="1"/>
  <c r="L36"/>
  <c r="P36" s="1"/>
  <c r="P44"/>
  <c r="P29"/>
  <c r="O22"/>
  <c r="O17"/>
  <c r="N9"/>
  <c r="N10" s="1"/>
  <c r="N11" s="1"/>
  <c r="P22"/>
  <c r="M9"/>
  <c r="M10" s="1"/>
  <c r="M11" s="1"/>
  <c r="H50" i="23" l="1"/>
  <c r="L9" i="14"/>
  <c r="L8" s="1"/>
  <c r="P9"/>
  <c r="P10" s="1"/>
  <c r="P11" s="1"/>
  <c r="O9"/>
  <c r="O10" s="1"/>
  <c r="O11" s="1"/>
  <c r="N8"/>
  <c r="N4" s="1"/>
  <c r="M8"/>
  <c r="M3" s="1"/>
  <c r="L10" l="1"/>
  <c r="L11" s="1"/>
  <c r="P8"/>
  <c r="O8"/>
  <c r="P18" i="33" l="1"/>
  <c r="AO9" l="1"/>
  <c r="R9"/>
  <c r="Q9"/>
  <c r="M9"/>
  <c r="H9"/>
  <c r="G9"/>
  <c r="F9"/>
  <c r="E9"/>
  <c r="S11" l="1"/>
  <c r="R11"/>
  <c r="Q11"/>
  <c r="M11"/>
  <c r="H11"/>
  <c r="G11"/>
  <c r="F11"/>
  <c r="E11"/>
  <c r="D16" i="34" l="1"/>
  <c r="D18" l="1"/>
  <c r="D17" i="11" s="1"/>
  <c r="AJ16" i="33" l="1"/>
  <c r="AJ15"/>
  <c r="AJ14"/>
  <c r="AJ13"/>
  <c r="AJ12"/>
  <c r="AJ11"/>
  <c r="AJ10"/>
  <c r="AJ9"/>
  <c r="AI17"/>
  <c r="AI16"/>
  <c r="AI15"/>
  <c r="AI14"/>
  <c r="AI13"/>
  <c r="AI12"/>
  <c r="AI11"/>
  <c r="AI10"/>
  <c r="P13" i="42" l="1"/>
  <c r="O13"/>
  <c r="L13"/>
  <c r="D10" i="43"/>
  <c r="J13" i="42"/>
  <c r="H13"/>
  <c r="E13" l="1"/>
  <c r="R13"/>
  <c r="C10" i="43"/>
  <c r="P24" i="42"/>
  <c r="O24"/>
  <c r="K12"/>
  <c r="K13"/>
  <c r="K14"/>
  <c r="K15"/>
  <c r="K16"/>
  <c r="K19"/>
  <c r="K20"/>
  <c r="K21"/>
  <c r="K22"/>
  <c r="K25"/>
  <c r="L24"/>
  <c r="J24"/>
  <c r="H24"/>
  <c r="E24" l="1"/>
  <c r="D21" i="43"/>
  <c r="C21" l="1"/>
  <c r="C7" s="1"/>
  <c r="R24" i="42"/>
  <c r="D7" i="43"/>
  <c r="E26" i="34" l="1"/>
  <c r="K11" i="42"/>
  <c r="S9" i="33"/>
  <c r="S22" i="22"/>
  <c r="U22"/>
  <c r="R22"/>
  <c r="T22"/>
  <c r="AI22"/>
  <c r="AJ22"/>
  <c r="Q22"/>
  <c r="I22"/>
  <c r="J22"/>
  <c r="K22"/>
  <c r="L22"/>
  <c r="AH22"/>
  <c r="AL22"/>
  <c r="M22"/>
  <c r="N22"/>
  <c r="O22"/>
  <c r="P22"/>
  <c r="E24" i="34" l="1"/>
  <c r="E25"/>
  <c r="G22" i="8"/>
  <c r="S12" i="22"/>
  <c r="U12"/>
  <c r="R12"/>
  <c r="T12"/>
  <c r="AI12"/>
  <c r="AJ12"/>
  <c r="Q12"/>
  <c r="I12"/>
  <c r="J12"/>
  <c r="K12"/>
  <c r="AH12"/>
  <c r="AL12"/>
  <c r="M12"/>
  <c r="N12"/>
  <c r="O12"/>
  <c r="P12"/>
  <c r="S19" l="1"/>
  <c r="U19"/>
  <c r="R19"/>
  <c r="T19"/>
  <c r="AI19"/>
  <c r="AJ19"/>
  <c r="Q19"/>
  <c r="I19"/>
  <c r="J19"/>
  <c r="K19"/>
  <c r="L19"/>
  <c r="AH19"/>
  <c r="AL19"/>
  <c r="M19"/>
  <c r="N19"/>
  <c r="O19"/>
  <c r="P19"/>
  <c r="S19" i="33"/>
  <c r="U19"/>
  <c r="R19"/>
  <c r="AI19"/>
  <c r="AJ19"/>
  <c r="Q19"/>
  <c r="I19"/>
  <c r="J19"/>
  <c r="K19"/>
  <c r="L19"/>
  <c r="AH19"/>
  <c r="AL19"/>
  <c r="M19"/>
  <c r="N19"/>
  <c r="O19"/>
  <c r="P19"/>
  <c r="S13" l="1"/>
  <c r="U13"/>
  <c r="R13"/>
  <c r="Q13"/>
  <c r="I13"/>
  <c r="J13"/>
  <c r="K13"/>
  <c r="L13"/>
  <c r="AH13"/>
  <c r="AL13"/>
  <c r="M13"/>
  <c r="N13"/>
  <c r="O13"/>
  <c r="P13"/>
  <c r="S13" i="22"/>
  <c r="U13"/>
  <c r="R13"/>
  <c r="T13"/>
  <c r="AI13"/>
  <c r="AJ13"/>
  <c r="Q13"/>
  <c r="J13"/>
  <c r="K13"/>
  <c r="AH13"/>
  <c r="AL13"/>
  <c r="M13"/>
  <c r="N13"/>
  <c r="O13"/>
  <c r="P13"/>
  <c r="I13"/>
  <c r="S20" l="1"/>
  <c r="U20"/>
  <c r="R20"/>
  <c r="T20"/>
  <c r="AI20"/>
  <c r="AJ20"/>
  <c r="Q20"/>
  <c r="I20"/>
  <c r="J20"/>
  <c r="K20"/>
  <c r="L20"/>
  <c r="AH20"/>
  <c r="AL20"/>
  <c r="M20"/>
  <c r="N20"/>
  <c r="O20"/>
  <c r="P20"/>
  <c r="S20" i="33"/>
  <c r="U20"/>
  <c r="R20"/>
  <c r="T20"/>
  <c r="AI20"/>
  <c r="AJ20"/>
  <c r="Q20"/>
  <c r="I20"/>
  <c r="J20"/>
  <c r="K20"/>
  <c r="L20"/>
  <c r="AH20"/>
  <c r="AL20"/>
  <c r="M20"/>
  <c r="N20"/>
  <c r="O20"/>
  <c r="P20"/>
  <c r="S23" l="1"/>
  <c r="U23"/>
  <c r="R23"/>
  <c r="T23"/>
  <c r="AI23"/>
  <c r="AJ23"/>
  <c r="Q23"/>
  <c r="I23"/>
  <c r="J23"/>
  <c r="K23"/>
  <c r="L23"/>
  <c r="AH23"/>
  <c r="AL23"/>
  <c r="M23"/>
  <c r="N23"/>
  <c r="O23"/>
  <c r="P23"/>
  <c r="S23" i="22"/>
  <c r="U23"/>
  <c r="R23"/>
  <c r="T23"/>
  <c r="AI23"/>
  <c r="AJ23"/>
  <c r="Q23"/>
  <c r="J23"/>
  <c r="K23"/>
  <c r="L23"/>
  <c r="AH23"/>
  <c r="AL23"/>
  <c r="M23"/>
  <c r="N23"/>
  <c r="O23"/>
  <c r="P23"/>
  <c r="I23"/>
  <c r="S21" i="33" l="1"/>
  <c r="U21"/>
  <c r="R21"/>
  <c r="T21"/>
  <c r="AI21"/>
  <c r="AJ21"/>
  <c r="Q21"/>
  <c r="I21"/>
  <c r="J21"/>
  <c r="K21"/>
  <c r="L21"/>
  <c r="AH21"/>
  <c r="AL21"/>
  <c r="M21"/>
  <c r="N21"/>
  <c r="O21"/>
  <c r="P21"/>
  <c r="S21" i="22"/>
  <c r="U21"/>
  <c r="R21"/>
  <c r="T21"/>
  <c r="AI21"/>
  <c r="AJ21"/>
  <c r="Q21"/>
  <c r="J21"/>
  <c r="K21"/>
  <c r="L21"/>
  <c r="AH21"/>
  <c r="AL21"/>
  <c r="M21"/>
  <c r="N21"/>
  <c r="O21"/>
  <c r="P21"/>
  <c r="I21"/>
  <c r="S10" l="1"/>
  <c r="U10"/>
  <c r="R10"/>
  <c r="T10"/>
  <c r="AI10"/>
  <c r="AJ10"/>
  <c r="Q10"/>
  <c r="I10"/>
  <c r="J10"/>
  <c r="K10"/>
  <c r="L10"/>
  <c r="AH10"/>
  <c r="AL10"/>
  <c r="M10"/>
  <c r="N10"/>
  <c r="O10"/>
  <c r="P10"/>
  <c r="S10" i="33"/>
  <c r="U10"/>
  <c r="R10"/>
  <c r="T10"/>
  <c r="Q10"/>
  <c r="I10"/>
  <c r="J10"/>
  <c r="K10"/>
  <c r="L10"/>
  <c r="AH10"/>
  <c r="AL10"/>
  <c r="M10"/>
  <c r="N10"/>
  <c r="O10"/>
  <c r="P10"/>
  <c r="S16" l="1"/>
  <c r="U16"/>
  <c r="R16"/>
  <c r="T16"/>
  <c r="Q16"/>
  <c r="I16"/>
  <c r="J16"/>
  <c r="K16"/>
  <c r="L16"/>
  <c r="AH16"/>
  <c r="AL16"/>
  <c r="M16"/>
  <c r="N16"/>
  <c r="O16"/>
  <c r="P16"/>
  <c r="S16" i="22"/>
  <c r="U16"/>
  <c r="R16"/>
  <c r="T16"/>
  <c r="AI16"/>
  <c r="AJ16"/>
  <c r="Q16"/>
  <c r="I16"/>
  <c r="J16"/>
  <c r="K16"/>
  <c r="L16"/>
  <c r="AH16"/>
  <c r="AL16"/>
  <c r="M16"/>
  <c r="N16"/>
  <c r="O16"/>
  <c r="P16"/>
  <c r="S15" i="33" l="1"/>
  <c r="U15"/>
  <c r="R15"/>
  <c r="T15"/>
  <c r="Q15"/>
  <c r="I15"/>
  <c r="J15"/>
  <c r="K15"/>
  <c r="L15"/>
  <c r="AH15"/>
  <c r="AL15"/>
  <c r="M15"/>
  <c r="N15"/>
  <c r="O15"/>
  <c r="P15"/>
  <c r="S15" i="22"/>
  <c r="U15"/>
  <c r="R15"/>
  <c r="T15"/>
  <c r="AI15"/>
  <c r="AJ15"/>
  <c r="Q15"/>
  <c r="I15"/>
  <c r="J15"/>
  <c r="K15"/>
  <c r="L15"/>
  <c r="AH15"/>
  <c r="AL15"/>
  <c r="M15"/>
  <c r="N15"/>
  <c r="O15"/>
  <c r="P15"/>
  <c r="S14" i="33" l="1"/>
  <c r="U14"/>
  <c r="R14"/>
  <c r="T14"/>
  <c r="Q14"/>
  <c r="I14"/>
  <c r="J14"/>
  <c r="K14"/>
  <c r="L14"/>
  <c r="AH14"/>
  <c r="AL14"/>
  <c r="M14"/>
  <c r="N14"/>
  <c r="O14"/>
  <c r="P14"/>
  <c r="H10"/>
  <c r="H13"/>
  <c r="H15"/>
  <c r="H16"/>
  <c r="H19"/>
  <c r="H20"/>
  <c r="H21"/>
  <c r="H23"/>
  <c r="G10"/>
  <c r="G13"/>
  <c r="G15"/>
  <c r="G16"/>
  <c r="G19"/>
  <c r="G20"/>
  <c r="G21"/>
  <c r="G23"/>
  <c r="S14" i="22"/>
  <c r="U14"/>
  <c r="R14"/>
  <c r="AI14"/>
  <c r="AJ14"/>
  <c r="Q14"/>
  <c r="J14"/>
  <c r="K14"/>
  <c r="L14"/>
  <c r="AH14"/>
  <c r="AL14"/>
  <c r="M14"/>
  <c r="N14"/>
  <c r="O14"/>
  <c r="P14"/>
  <c r="I14"/>
  <c r="H14" i="33" l="1"/>
  <c r="G14"/>
  <c r="S18" i="22" l="1"/>
  <c r="U18"/>
  <c r="R18"/>
  <c r="T18"/>
  <c r="AI18"/>
  <c r="AJ18"/>
  <c r="Q18"/>
  <c r="I18"/>
  <c r="J18"/>
  <c r="K18"/>
  <c r="L18"/>
  <c r="AH18"/>
  <c r="AL18"/>
  <c r="M18"/>
  <c r="N18"/>
  <c r="O18"/>
  <c r="P18"/>
  <c r="S17" l="1"/>
  <c r="U17"/>
  <c r="R17"/>
  <c r="T17"/>
  <c r="AI17"/>
  <c r="AJ17"/>
  <c r="Q17"/>
  <c r="I17"/>
  <c r="J17"/>
  <c r="K17"/>
  <c r="L17"/>
  <c r="AH17"/>
  <c r="AL17"/>
  <c r="M17"/>
  <c r="N17"/>
  <c r="O17"/>
  <c r="P17"/>
  <c r="S11" l="1"/>
  <c r="U11"/>
  <c r="AJ11"/>
  <c r="R11"/>
  <c r="T11"/>
  <c r="AI11"/>
  <c r="Q11"/>
  <c r="K11"/>
  <c r="L11"/>
  <c r="AH11"/>
  <c r="AL11"/>
  <c r="M11"/>
  <c r="N11"/>
  <c r="O11"/>
  <c r="P11"/>
  <c r="I11"/>
  <c r="F10" i="33" l="1"/>
  <c r="F13"/>
  <c r="F14"/>
  <c r="F15"/>
  <c r="F16"/>
  <c r="F19"/>
  <c r="F20"/>
  <c r="F21"/>
  <c r="F23"/>
  <c r="S9" i="22"/>
  <c r="U9"/>
  <c r="R9"/>
  <c r="T9"/>
  <c r="AI9"/>
  <c r="AJ9"/>
  <c r="Q9"/>
  <c r="J9"/>
  <c r="K9"/>
  <c r="L9"/>
  <c r="AH9"/>
  <c r="AL9"/>
  <c r="M9"/>
  <c r="N9"/>
  <c r="O9"/>
  <c r="P9"/>
  <c r="I9"/>
  <c r="H19" l="1"/>
  <c r="G19"/>
  <c r="F19"/>
  <c r="E19" l="1"/>
  <c r="H16"/>
  <c r="G16"/>
  <c r="F16"/>
  <c r="E16" l="1"/>
  <c r="H12"/>
  <c r="G12"/>
  <c r="F12"/>
  <c r="E12" l="1"/>
  <c r="H23"/>
  <c r="G23"/>
  <c r="F23"/>
  <c r="E23" l="1"/>
  <c r="H22"/>
  <c r="G22"/>
  <c r="F22"/>
  <c r="E22" l="1"/>
  <c r="H21"/>
  <c r="G21"/>
  <c r="F21"/>
  <c r="E21" l="1"/>
  <c r="H20"/>
  <c r="G20"/>
  <c r="F20"/>
  <c r="E20" l="1"/>
  <c r="H18"/>
  <c r="F18"/>
  <c r="E18"/>
  <c r="G18" l="1"/>
  <c r="H17"/>
  <c r="G17"/>
  <c r="F17"/>
  <c r="E17" l="1"/>
  <c r="H15"/>
  <c r="G15"/>
  <c r="F15"/>
  <c r="E15" l="1"/>
  <c r="H14"/>
  <c r="G14"/>
  <c r="F14"/>
  <c r="E14" l="1"/>
  <c r="H13"/>
  <c r="F13"/>
  <c r="E13"/>
  <c r="G13" l="1"/>
  <c r="H11"/>
  <c r="G11"/>
  <c r="F11"/>
  <c r="E11" l="1"/>
  <c r="H10"/>
  <c r="G10"/>
  <c r="F10"/>
  <c r="E10" l="1"/>
  <c r="H9"/>
  <c r="S18" i="33" l="1"/>
  <c r="U18"/>
  <c r="AJ18"/>
  <c r="R18"/>
  <c r="T18"/>
  <c r="AI18"/>
  <c r="Q18"/>
  <c r="I18"/>
  <c r="J18"/>
  <c r="K18"/>
  <c r="L18"/>
  <c r="AH18"/>
  <c r="AL18"/>
  <c r="M18"/>
  <c r="N18"/>
  <c r="O18"/>
  <c r="H18" l="1"/>
  <c r="G18"/>
  <c r="F18"/>
  <c r="S17"/>
  <c r="U17"/>
  <c r="R17"/>
  <c r="Q17"/>
  <c r="U11" l="1"/>
  <c r="AO10"/>
  <c r="AO14"/>
  <c r="AO15"/>
  <c r="AO16"/>
  <c r="AO18"/>
  <c r="AO20"/>
  <c r="AO21"/>
  <c r="AO23"/>
  <c r="T11"/>
  <c r="I11"/>
  <c r="J11"/>
  <c r="K11"/>
  <c r="L11"/>
  <c r="AH11"/>
  <c r="AL11"/>
  <c r="N11"/>
  <c r="O11"/>
  <c r="P11"/>
  <c r="AO11" l="1"/>
  <c r="S12"/>
  <c r="U12"/>
  <c r="R12"/>
  <c r="Q12"/>
  <c r="I12"/>
  <c r="J12"/>
  <c r="K12"/>
  <c r="L12"/>
  <c r="AH12"/>
  <c r="AL12"/>
  <c r="M12"/>
  <c r="N12"/>
  <c r="O12"/>
  <c r="P12"/>
  <c r="H12" l="1"/>
  <c r="G12"/>
  <c r="F12"/>
  <c r="S22"/>
  <c r="U22"/>
  <c r="AJ22"/>
  <c r="AI22"/>
  <c r="T22"/>
  <c r="R22"/>
  <c r="Q22"/>
  <c r="I22"/>
  <c r="J22"/>
  <c r="K22"/>
  <c r="L22"/>
  <c r="AH22"/>
  <c r="AL22"/>
  <c r="M22"/>
  <c r="N22"/>
  <c r="O22"/>
  <c r="P22"/>
  <c r="F22" l="1"/>
  <c r="H22"/>
  <c r="G22"/>
  <c r="AO22"/>
  <c r="AJ17"/>
  <c r="T17"/>
  <c r="I17"/>
  <c r="J17"/>
  <c r="K17"/>
  <c r="L17"/>
  <c r="AH17"/>
  <c r="AL17"/>
  <c r="M17"/>
  <c r="N17"/>
  <c r="O17"/>
  <c r="P17"/>
  <c r="T9"/>
  <c r="I9"/>
  <c r="J9"/>
  <c r="K9"/>
  <c r="AH9"/>
  <c r="AL9"/>
  <c r="N9"/>
  <c r="O9"/>
  <c r="P9"/>
  <c r="E13" l="1"/>
  <c r="U9"/>
  <c r="E23"/>
  <c r="E19"/>
  <c r="E14"/>
  <c r="E10"/>
  <c r="E18"/>
  <c r="E21"/>
  <c r="E16"/>
  <c r="E12"/>
  <c r="E20"/>
  <c r="E15"/>
  <c r="E22"/>
  <c r="G17"/>
  <c r="H17"/>
  <c r="E17"/>
  <c r="E9" i="22"/>
  <c r="F17" i="33" l="1"/>
  <c r="G9" i="22"/>
  <c r="AO17" i="33"/>
  <c r="F9" i="22"/>
  <c r="AP10" i="33"/>
  <c r="AP11"/>
  <c r="AP12"/>
  <c r="AP13"/>
  <c r="AP14"/>
  <c r="AP15"/>
  <c r="AP16"/>
  <c r="AP17"/>
  <c r="AP18"/>
  <c r="AP19"/>
  <c r="AP20"/>
  <c r="AP21"/>
  <c r="AP22"/>
  <c r="AP23"/>
  <c r="AP9"/>
  <c r="F10" i="42" l="1"/>
  <c r="G10"/>
  <c r="M10"/>
  <c r="N10"/>
  <c r="R10"/>
  <c r="S10"/>
  <c r="T10"/>
  <c r="U10"/>
  <c r="U59" i="33" l="1"/>
  <c r="E59"/>
  <c r="F59"/>
  <c r="G59"/>
  <c r="H59"/>
  <c r="I59"/>
  <c r="J59"/>
  <c r="K59"/>
  <c r="L59"/>
  <c r="M59"/>
  <c r="N59"/>
  <c r="O59"/>
  <c r="P59"/>
  <c r="Q59"/>
  <c r="R59"/>
  <c r="S59"/>
  <c r="T59"/>
  <c r="V59"/>
  <c r="W59"/>
  <c r="X59"/>
  <c r="Y59"/>
  <c r="Z59"/>
  <c r="AA59"/>
  <c r="AB59"/>
  <c r="AC59"/>
  <c r="E60"/>
  <c r="F60"/>
  <c r="G60"/>
  <c r="H60"/>
  <c r="I60"/>
  <c r="J60"/>
  <c r="K60"/>
  <c r="L60"/>
  <c r="M60"/>
  <c r="N60"/>
  <c r="O60"/>
  <c r="P60"/>
  <c r="Q60"/>
  <c r="R60"/>
  <c r="S60"/>
  <c r="T60"/>
  <c r="U60"/>
  <c r="V60"/>
  <c r="W60"/>
  <c r="X60"/>
  <c r="Y60"/>
  <c r="Z60"/>
  <c r="AA60"/>
  <c r="AB60"/>
  <c r="AC60"/>
  <c r="AX9" i="22" l="1"/>
  <c r="AY10"/>
  <c r="AY11"/>
  <c r="AY14"/>
  <c r="AY15"/>
  <c r="AY16"/>
  <c r="AY17"/>
  <c r="AY18"/>
  <c r="AY20"/>
  <c r="AY21"/>
  <c r="AY9"/>
  <c r="T34" i="33"/>
  <c r="E58"/>
  <c r="F58"/>
  <c r="G58"/>
  <c r="H58"/>
  <c r="I58"/>
  <c r="J58"/>
  <c r="K58"/>
  <c r="L58"/>
  <c r="M58"/>
  <c r="N58"/>
  <c r="O58"/>
  <c r="P58"/>
  <c r="Q58"/>
  <c r="R58"/>
  <c r="S58"/>
  <c r="U58"/>
  <c r="V58"/>
  <c r="W58"/>
  <c r="X58"/>
  <c r="Y58"/>
  <c r="Z58"/>
  <c r="AA58"/>
  <c r="AB58"/>
  <c r="AC58"/>
  <c r="AD58"/>
  <c r="AY23" i="22"/>
  <c r="AZ9" l="1"/>
  <c r="H74"/>
  <c r="H75" s="1"/>
  <c r="E57" i="33"/>
  <c r="F57"/>
  <c r="G57"/>
  <c r="H57"/>
  <c r="I57"/>
  <c r="J57"/>
  <c r="K57"/>
  <c r="L57"/>
  <c r="M57"/>
  <c r="N57"/>
  <c r="O57"/>
  <c r="P57"/>
  <c r="Q57"/>
  <c r="R57"/>
  <c r="S57"/>
  <c r="T57"/>
  <c r="U57"/>
  <c r="V57"/>
  <c r="W57"/>
  <c r="X57"/>
  <c r="Y57"/>
  <c r="Z57"/>
  <c r="AA57"/>
  <c r="AB57"/>
  <c r="AC57"/>
  <c r="AD57"/>
  <c r="AH57"/>
  <c r="AI57"/>
  <c r="AJ57"/>
  <c r="AK57"/>
  <c r="AL57"/>
  <c r="AP57"/>
  <c r="AQ57"/>
  <c r="AR57"/>
  <c r="K56"/>
  <c r="E73" i="22"/>
  <c r="T31" i="33"/>
  <c r="T56" s="1"/>
  <c r="E56"/>
  <c r="F56"/>
  <c r="G56"/>
  <c r="H56"/>
  <c r="I56"/>
  <c r="J56"/>
  <c r="L56"/>
  <c r="M56"/>
  <c r="N56"/>
  <c r="O56"/>
  <c r="P56"/>
  <c r="Q56"/>
  <c r="R56"/>
  <c r="S56"/>
  <c r="U56"/>
  <c r="V56"/>
  <c r="W56"/>
  <c r="X56"/>
  <c r="Y56"/>
  <c r="Z56"/>
  <c r="AA56"/>
  <c r="AB56"/>
  <c r="AC56"/>
  <c r="AD56"/>
  <c r="AH56"/>
  <c r="AI56"/>
  <c r="AJ56"/>
  <c r="AK56"/>
  <c r="AL56"/>
  <c r="AP56"/>
  <c r="AQ56"/>
  <c r="AR56"/>
  <c r="T35" i="22"/>
  <c r="AY22"/>
  <c r="V46" i="28" l="1"/>
  <c r="E55" i="33"/>
  <c r="F55"/>
  <c r="G55"/>
  <c r="H55"/>
  <c r="I55"/>
  <c r="J55"/>
  <c r="K55"/>
  <c r="L55"/>
  <c r="M55"/>
  <c r="N55"/>
  <c r="O55"/>
  <c r="P55"/>
  <c r="Q55"/>
  <c r="R55"/>
  <c r="S55"/>
  <c r="T55"/>
  <c r="U55"/>
  <c r="V55"/>
  <c r="W55"/>
  <c r="X55"/>
  <c r="Y55"/>
  <c r="Z55"/>
  <c r="AA55"/>
  <c r="AB55"/>
  <c r="AC55"/>
  <c r="AS47" i="22"/>
  <c r="AS44" l="1"/>
  <c r="E54" i="33"/>
  <c r="F54"/>
  <c r="G54"/>
  <c r="H54"/>
  <c r="I54"/>
  <c r="J54"/>
  <c r="K54"/>
  <c r="L54"/>
  <c r="M54"/>
  <c r="N54"/>
  <c r="O54"/>
  <c r="P54"/>
  <c r="Q54"/>
  <c r="R54"/>
  <c r="S54"/>
  <c r="U54"/>
  <c r="V54"/>
  <c r="W54"/>
  <c r="X54"/>
  <c r="Y54"/>
  <c r="Z54"/>
  <c r="AA54"/>
  <c r="AB54"/>
  <c r="AC54"/>
  <c r="D67" l="1"/>
  <c r="C67" s="1"/>
  <c r="E53"/>
  <c r="F53"/>
  <c r="G53"/>
  <c r="H53"/>
  <c r="I53"/>
  <c r="J53"/>
  <c r="K53"/>
  <c r="L53"/>
  <c r="M53"/>
  <c r="N53"/>
  <c r="O53"/>
  <c r="P53"/>
  <c r="Q53"/>
  <c r="R53"/>
  <c r="S53"/>
  <c r="T53"/>
  <c r="U53"/>
  <c r="V53"/>
  <c r="W53"/>
  <c r="X53"/>
  <c r="Y53"/>
  <c r="Z53"/>
  <c r="AA53"/>
  <c r="AB53"/>
  <c r="AC53"/>
  <c r="E52" l="1"/>
  <c r="F52"/>
  <c r="G52"/>
  <c r="H52"/>
  <c r="I52"/>
  <c r="J52"/>
  <c r="K52"/>
  <c r="L52"/>
  <c r="M52"/>
  <c r="N52"/>
  <c r="O52"/>
  <c r="P52"/>
  <c r="Q52"/>
  <c r="R52"/>
  <c r="S52"/>
  <c r="U52"/>
  <c r="V52"/>
  <c r="W52"/>
  <c r="X52"/>
  <c r="Y52"/>
  <c r="Z52"/>
  <c r="AA52"/>
  <c r="AB52"/>
  <c r="AC52"/>
  <c r="L22" i="67"/>
  <c r="L20"/>
  <c r="L21"/>
  <c r="L18"/>
  <c r="L19"/>
  <c r="L13"/>
  <c r="L12"/>
  <c r="L11"/>
  <c r="L15"/>
  <c r="L16"/>
  <c r="H65" i="33"/>
  <c r="D65" s="1"/>
  <c r="Z51" i="23" l="1"/>
  <c r="AA51"/>
  <c r="N63"/>
  <c r="N61" s="1"/>
  <c r="O63"/>
  <c r="O61" s="1"/>
  <c r="P63"/>
  <c r="P61" s="1"/>
  <c r="Q63"/>
  <c r="Q61" s="1"/>
  <c r="R63"/>
  <c r="R61" s="1"/>
  <c r="S63"/>
  <c r="S61" s="1"/>
  <c r="T63"/>
  <c r="T61" s="1"/>
  <c r="U63"/>
  <c r="U61" s="1"/>
  <c r="V63"/>
  <c r="V61" s="1"/>
  <c r="W63"/>
  <c r="W61" s="1"/>
  <c r="X63"/>
  <c r="X61" s="1"/>
  <c r="Y63"/>
  <c r="Y61" s="1"/>
  <c r="Z63"/>
  <c r="Z61" s="1"/>
  <c r="AA63"/>
  <c r="AA61" s="1"/>
  <c r="M63"/>
  <c r="N54"/>
  <c r="O54"/>
  <c r="P54"/>
  <c r="Q54"/>
  <c r="R54"/>
  <c r="S54"/>
  <c r="T54"/>
  <c r="U54"/>
  <c r="V54"/>
  <c r="W54"/>
  <c r="X54"/>
  <c r="Y54"/>
  <c r="Z54"/>
  <c r="AA54"/>
  <c r="N51"/>
  <c r="P51"/>
  <c r="Q51"/>
  <c r="R51"/>
  <c r="S51"/>
  <c r="T51"/>
  <c r="U51"/>
  <c r="V51"/>
  <c r="W51"/>
  <c r="X51"/>
  <c r="Y51"/>
  <c r="M51"/>
  <c r="T42" i="28"/>
  <c r="O51" i="23"/>
  <c r="M15"/>
  <c r="M11" s="1"/>
  <c r="M10" s="1"/>
  <c r="N15"/>
  <c r="N11" s="1"/>
  <c r="N10" s="1"/>
  <c r="P15"/>
  <c r="P11" s="1"/>
  <c r="P10" s="1"/>
  <c r="Q15"/>
  <c r="Q11" s="1"/>
  <c r="Q10" s="1"/>
  <c r="R15"/>
  <c r="R11" s="1"/>
  <c r="R10" s="1"/>
  <c r="T15"/>
  <c r="T11" s="1"/>
  <c r="T10" s="1"/>
  <c r="U15"/>
  <c r="U11" s="1"/>
  <c r="U10" s="1"/>
  <c r="V15"/>
  <c r="V11" s="1"/>
  <c r="V10" s="1"/>
  <c r="W15"/>
  <c r="W11" s="1"/>
  <c r="W10" s="1"/>
  <c r="X15"/>
  <c r="X11" s="1"/>
  <c r="X10" s="1"/>
  <c r="Y15"/>
  <c r="Y11" s="1"/>
  <c r="Y10" s="1"/>
  <c r="Z15"/>
  <c r="Z11" s="1"/>
  <c r="Z10" s="1"/>
  <c r="AA15"/>
  <c r="AA11" s="1"/>
  <c r="AA10" s="1"/>
  <c r="U27"/>
  <c r="U21" i="28" s="1"/>
  <c r="V27" i="23"/>
  <c r="U24" i="28" s="1"/>
  <c r="W27" i="23"/>
  <c r="U12" i="28" s="1"/>
  <c r="X27" i="23"/>
  <c r="U25" i="28" s="1"/>
  <c r="E51" i="33"/>
  <c r="F51"/>
  <c r="G51"/>
  <c r="H51"/>
  <c r="I51"/>
  <c r="J51"/>
  <c r="K51"/>
  <c r="M51"/>
  <c r="N51"/>
  <c r="O51"/>
  <c r="P51"/>
  <c r="Q51"/>
  <c r="R51"/>
  <c r="S51"/>
  <c r="T51"/>
  <c r="U51"/>
  <c r="V51"/>
  <c r="W51"/>
  <c r="X51"/>
  <c r="Y51"/>
  <c r="Z51"/>
  <c r="AA51"/>
  <c r="AB51"/>
  <c r="AC51"/>
  <c r="E50"/>
  <c r="F50"/>
  <c r="G50"/>
  <c r="H50"/>
  <c r="I50"/>
  <c r="J50"/>
  <c r="K50"/>
  <c r="L50"/>
  <c r="M50"/>
  <c r="N50"/>
  <c r="O50"/>
  <c r="P50"/>
  <c r="Q50"/>
  <c r="R50"/>
  <c r="S50"/>
  <c r="T50"/>
  <c r="U50"/>
  <c r="V50"/>
  <c r="W50"/>
  <c r="X50"/>
  <c r="Y50"/>
  <c r="Z50"/>
  <c r="AA50"/>
  <c r="AB50"/>
  <c r="AC50"/>
  <c r="J26" i="21"/>
  <c r="F26"/>
  <c r="K26"/>
  <c r="L26"/>
  <c r="M26"/>
  <c r="C10"/>
  <c r="C27" s="1"/>
  <c r="AT10" i="22"/>
  <c r="AT11"/>
  <c r="AT12"/>
  <c r="AT13"/>
  <c r="AT14"/>
  <c r="AT15"/>
  <c r="AT16"/>
  <c r="AT17"/>
  <c r="AT18"/>
  <c r="AT19"/>
  <c r="AT44" s="1"/>
  <c r="AT20"/>
  <c r="AT21"/>
  <c r="AT22"/>
  <c r="AT47" s="1"/>
  <c r="AT23"/>
  <c r="AT9"/>
  <c r="AS8"/>
  <c r="F11" i="21"/>
  <c r="I12"/>
  <c r="I13"/>
  <c r="M13" s="1"/>
  <c r="I14"/>
  <c r="I15"/>
  <c r="M15" s="1"/>
  <c r="I16"/>
  <c r="I17"/>
  <c r="M17" s="1"/>
  <c r="I18"/>
  <c r="I19"/>
  <c r="M19" s="1"/>
  <c r="I20"/>
  <c r="I21"/>
  <c r="M21" s="1"/>
  <c r="I22"/>
  <c r="I23"/>
  <c r="M23" s="1"/>
  <c r="I24"/>
  <c r="I25"/>
  <c r="M25" s="1"/>
  <c r="I11"/>
  <c r="M11" s="1"/>
  <c r="H12"/>
  <c r="H13"/>
  <c r="H14"/>
  <c r="H15"/>
  <c r="H16"/>
  <c r="H17"/>
  <c r="H18"/>
  <c r="H19"/>
  <c r="H20"/>
  <c r="H21"/>
  <c r="H22"/>
  <c r="H23"/>
  <c r="H24"/>
  <c r="H25"/>
  <c r="H11"/>
  <c r="L11" s="1"/>
  <c r="F12"/>
  <c r="F13"/>
  <c r="F14"/>
  <c r="F15"/>
  <c r="F16"/>
  <c r="F17"/>
  <c r="F18"/>
  <c r="F19"/>
  <c r="F20"/>
  <c r="F21"/>
  <c r="F22"/>
  <c r="F23"/>
  <c r="F24"/>
  <c r="F25"/>
  <c r="S8" i="33"/>
  <c r="H11" i="32"/>
  <c r="I11"/>
  <c r="H12"/>
  <c r="I12"/>
  <c r="H13"/>
  <c r="I13"/>
  <c r="H14"/>
  <c r="I14"/>
  <c r="H15"/>
  <c r="I15"/>
  <c r="H16"/>
  <c r="I16"/>
  <c r="H17"/>
  <c r="I17"/>
  <c r="H18"/>
  <c r="I18"/>
  <c r="H19"/>
  <c r="I19"/>
  <c r="H20"/>
  <c r="I20"/>
  <c r="H21"/>
  <c r="I21"/>
  <c r="H22"/>
  <c r="I22"/>
  <c r="H23"/>
  <c r="I23"/>
  <c r="H24"/>
  <c r="I24"/>
  <c r="I10"/>
  <c r="H10"/>
  <c r="D11"/>
  <c r="E11"/>
  <c r="D12"/>
  <c r="E12"/>
  <c r="D13"/>
  <c r="E13"/>
  <c r="D14"/>
  <c r="E14"/>
  <c r="D15"/>
  <c r="E15"/>
  <c r="D16"/>
  <c r="E16"/>
  <c r="D17"/>
  <c r="E17"/>
  <c r="D18"/>
  <c r="E18"/>
  <c r="D19"/>
  <c r="E19"/>
  <c r="D20"/>
  <c r="E20"/>
  <c r="D21"/>
  <c r="E21"/>
  <c r="D22"/>
  <c r="E22"/>
  <c r="D23"/>
  <c r="E23"/>
  <c r="D24"/>
  <c r="E24"/>
  <c r="E10"/>
  <c r="D10"/>
  <c r="I49" i="33"/>
  <c r="K49"/>
  <c r="J10" i="67"/>
  <c r="J23" s="1"/>
  <c r="I10"/>
  <c r="K10"/>
  <c r="K23" s="1"/>
  <c r="C23"/>
  <c r="E23"/>
  <c r="G23"/>
  <c r="F23"/>
  <c r="H23"/>
  <c r="D23"/>
  <c r="L10"/>
  <c r="M10" s="1"/>
  <c r="L14"/>
  <c r="M14" s="1"/>
  <c r="L17"/>
  <c r="M17" s="1"/>
  <c r="L9"/>
  <c r="M9" s="1"/>
  <c r="M11"/>
  <c r="M12"/>
  <c r="M13"/>
  <c r="M15"/>
  <c r="M16"/>
  <c r="M18"/>
  <c r="M19"/>
  <c r="M20"/>
  <c r="M21"/>
  <c r="M22"/>
  <c r="M8"/>
  <c r="Q47" i="42"/>
  <c r="D47"/>
  <c r="C47" s="1"/>
  <c r="Q46"/>
  <c r="D46"/>
  <c r="Q45"/>
  <c r="D45"/>
  <c r="C45" s="1"/>
  <c r="Q44"/>
  <c r="D44"/>
  <c r="Q43"/>
  <c r="D43"/>
  <c r="Q42"/>
  <c r="D42"/>
  <c r="Q41"/>
  <c r="D41"/>
  <c r="C41" s="1"/>
  <c r="Q40"/>
  <c r="D40"/>
  <c r="Q39"/>
  <c r="D39"/>
  <c r="C39" s="1"/>
  <c r="Q38"/>
  <c r="D38"/>
  <c r="Q37"/>
  <c r="D37"/>
  <c r="Q36"/>
  <c r="D36"/>
  <c r="Q35"/>
  <c r="D35"/>
  <c r="Q34"/>
  <c r="D34"/>
  <c r="Q33"/>
  <c r="D33"/>
  <c r="Q12"/>
  <c r="Q13"/>
  <c r="Q14"/>
  <c r="Q15"/>
  <c r="Q16"/>
  <c r="Q17"/>
  <c r="Q18"/>
  <c r="Q19"/>
  <c r="Q20"/>
  <c r="Q21"/>
  <c r="Q22"/>
  <c r="Q23"/>
  <c r="Q24"/>
  <c r="Q25"/>
  <c r="Q11"/>
  <c r="E49" i="33"/>
  <c r="F49"/>
  <c r="G49"/>
  <c r="H49"/>
  <c r="J49"/>
  <c r="L49"/>
  <c r="M49"/>
  <c r="N49"/>
  <c r="O49"/>
  <c r="P49"/>
  <c r="Q49"/>
  <c r="R49"/>
  <c r="T49"/>
  <c r="U49"/>
  <c r="V49"/>
  <c r="W49"/>
  <c r="X49"/>
  <c r="Y49"/>
  <c r="Z49"/>
  <c r="AA49"/>
  <c r="AB49"/>
  <c r="AC49"/>
  <c r="AN44"/>
  <c r="AM44"/>
  <c r="D44"/>
  <c r="AN43"/>
  <c r="AM43"/>
  <c r="D43"/>
  <c r="AN42"/>
  <c r="AM42"/>
  <c r="D42"/>
  <c r="C42" s="1"/>
  <c r="AN41"/>
  <c r="AM41"/>
  <c r="D41"/>
  <c r="C41" s="1"/>
  <c r="AN40"/>
  <c r="AM40"/>
  <c r="D40"/>
  <c r="AN39"/>
  <c r="AM39"/>
  <c r="D39"/>
  <c r="C39" s="1"/>
  <c r="AN38"/>
  <c r="AM38"/>
  <c r="D38"/>
  <c r="AN37"/>
  <c r="AM37"/>
  <c r="D37"/>
  <c r="AN36"/>
  <c r="AM36"/>
  <c r="D36"/>
  <c r="C36" s="1"/>
  <c r="AN35"/>
  <c r="AM35"/>
  <c r="D35"/>
  <c r="C35" s="1"/>
  <c r="AN34"/>
  <c r="AM34"/>
  <c r="D34"/>
  <c r="AN33"/>
  <c r="AM33"/>
  <c r="D33"/>
  <c r="AN32"/>
  <c r="AM32"/>
  <c r="D32"/>
  <c r="C32" s="1"/>
  <c r="AN31"/>
  <c r="AM31"/>
  <c r="D31"/>
  <c r="AN30"/>
  <c r="AM30"/>
  <c r="D30"/>
  <c r="C30" s="1"/>
  <c r="T35" i="28"/>
  <c r="T32" s="1"/>
  <c r="N37"/>
  <c r="N38"/>
  <c r="M38" s="1"/>
  <c r="N39"/>
  <c r="N40"/>
  <c r="N41"/>
  <c r="N42"/>
  <c r="N43"/>
  <c r="N44"/>
  <c r="N45"/>
  <c r="N46"/>
  <c r="N47"/>
  <c r="N36"/>
  <c r="N34"/>
  <c r="N33"/>
  <c r="M33" s="1"/>
  <c r="N35"/>
  <c r="M35" s="1"/>
  <c r="AT47"/>
  <c r="AO47"/>
  <c r="AV47" s="1"/>
  <c r="AN47"/>
  <c r="AU47" s="1"/>
  <c r="AD47"/>
  <c r="AC47"/>
  <c r="AB47"/>
  <c r="K47"/>
  <c r="AF47" s="1"/>
  <c r="D47"/>
  <c r="Y47" s="1"/>
  <c r="AT46"/>
  <c r="AO46"/>
  <c r="AV46" s="1"/>
  <c r="AN46"/>
  <c r="AP46" s="1"/>
  <c r="AQ46" s="1"/>
  <c r="AD46"/>
  <c r="AC46"/>
  <c r="AB46"/>
  <c r="K46"/>
  <c r="AF46" s="1"/>
  <c r="D46"/>
  <c r="AT45"/>
  <c r="AO45"/>
  <c r="AV45" s="1"/>
  <c r="AN45"/>
  <c r="AU45" s="1"/>
  <c r="AD45"/>
  <c r="AC45"/>
  <c r="AB45"/>
  <c r="D45"/>
  <c r="AV44"/>
  <c r="AU44"/>
  <c r="AT44"/>
  <c r="AP44"/>
  <c r="AQ44" s="1"/>
  <c r="AL44"/>
  <c r="J44" s="1"/>
  <c r="AE44" s="1"/>
  <c r="AD44"/>
  <c r="AC44"/>
  <c r="AB44"/>
  <c r="K44"/>
  <c r="AF44" s="1"/>
  <c r="D44"/>
  <c r="AT43"/>
  <c r="AO43"/>
  <c r="AV43" s="1"/>
  <c r="AN43"/>
  <c r="AU43" s="1"/>
  <c r="AD43"/>
  <c r="AC43"/>
  <c r="AB43"/>
  <c r="D43"/>
  <c r="Y43" s="1"/>
  <c r="AV42"/>
  <c r="AU42"/>
  <c r="AT42"/>
  <c r="AP42"/>
  <c r="AQ42" s="1"/>
  <c r="AL42"/>
  <c r="J42" s="1"/>
  <c r="AD42"/>
  <c r="AC42"/>
  <c r="AB42"/>
  <c r="K42"/>
  <c r="AF42" s="1"/>
  <c r="D42"/>
  <c r="Y42" s="1"/>
  <c r="AV41"/>
  <c r="AU41"/>
  <c r="AT41"/>
  <c r="AP41"/>
  <c r="AQ41" s="1"/>
  <c r="AL41"/>
  <c r="J41" s="1"/>
  <c r="AD41"/>
  <c r="AC41"/>
  <c r="AB41"/>
  <c r="K41"/>
  <c r="AF41" s="1"/>
  <c r="D41"/>
  <c r="AT40"/>
  <c r="AO40"/>
  <c r="AV40" s="1"/>
  <c r="AN40"/>
  <c r="AU40" s="1"/>
  <c r="AD40"/>
  <c r="AC40"/>
  <c r="AB40"/>
  <c r="D40"/>
  <c r="Y40" s="1"/>
  <c r="AV39"/>
  <c r="AU39"/>
  <c r="AT39"/>
  <c r="AP39"/>
  <c r="AQ39" s="1"/>
  <c r="AL39"/>
  <c r="J39" s="1"/>
  <c r="AD39"/>
  <c r="AC39"/>
  <c r="AB39"/>
  <c r="K39"/>
  <c r="AF39" s="1"/>
  <c r="D39"/>
  <c r="AV38"/>
  <c r="AU38"/>
  <c r="AT38"/>
  <c r="AP38"/>
  <c r="AQ38" s="1"/>
  <c r="AL38"/>
  <c r="J38" s="1"/>
  <c r="AE38" s="1"/>
  <c r="AD38"/>
  <c r="AC38"/>
  <c r="AB38"/>
  <c r="K38"/>
  <c r="AF38" s="1"/>
  <c r="D38"/>
  <c r="AV37"/>
  <c r="AU37"/>
  <c r="AT37"/>
  <c r="AP37"/>
  <c r="AQ37" s="1"/>
  <c r="AL37"/>
  <c r="J37" s="1"/>
  <c r="AE37" s="1"/>
  <c r="AD37"/>
  <c r="AC37"/>
  <c r="AB37"/>
  <c r="K37"/>
  <c r="AF37" s="1"/>
  <c r="D37"/>
  <c r="AV36"/>
  <c r="AU36"/>
  <c r="AT36"/>
  <c r="AP36"/>
  <c r="AQ36" s="1"/>
  <c r="AL36"/>
  <c r="J36" s="1"/>
  <c r="AE36" s="1"/>
  <c r="AD36"/>
  <c r="AC36"/>
  <c r="AB36"/>
  <c r="M36"/>
  <c r="K36"/>
  <c r="AF36" s="1"/>
  <c r="D36"/>
  <c r="AV35"/>
  <c r="AU35"/>
  <c r="AT35"/>
  <c r="AP35"/>
  <c r="AQ35" s="1"/>
  <c r="AL35"/>
  <c r="J35" s="1"/>
  <c r="AD35"/>
  <c r="AC35"/>
  <c r="AB35"/>
  <c r="K35"/>
  <c r="AF35" s="1"/>
  <c r="D35"/>
  <c r="AT34"/>
  <c r="AO34"/>
  <c r="AV34" s="1"/>
  <c r="AN34"/>
  <c r="AU34" s="1"/>
  <c r="AD34"/>
  <c r="AC34"/>
  <c r="AB34"/>
  <c r="M34"/>
  <c r="D34"/>
  <c r="AV33"/>
  <c r="AU33"/>
  <c r="AT33"/>
  <c r="AP33"/>
  <c r="AQ33" s="1"/>
  <c r="AL33"/>
  <c r="J33" s="1"/>
  <c r="AE33" s="1"/>
  <c r="AD33"/>
  <c r="AC33"/>
  <c r="AB33"/>
  <c r="K33"/>
  <c r="AF33" s="1"/>
  <c r="D33"/>
  <c r="AM32"/>
  <c r="AT32" s="1"/>
  <c r="W32"/>
  <c r="V32"/>
  <c r="U32"/>
  <c r="S32"/>
  <c r="R32"/>
  <c r="Q32"/>
  <c r="P32"/>
  <c r="O32"/>
  <c r="L32"/>
  <c r="I32"/>
  <c r="H32"/>
  <c r="G32"/>
  <c r="F32"/>
  <c r="E32"/>
  <c r="E56" i="22"/>
  <c r="F56"/>
  <c r="G56"/>
  <c r="H56"/>
  <c r="I56"/>
  <c r="J56"/>
  <c r="K56"/>
  <c r="L56"/>
  <c r="AN56" s="1"/>
  <c r="M56"/>
  <c r="AO56" s="1"/>
  <c r="N56"/>
  <c r="O56"/>
  <c r="P56"/>
  <c r="Q56"/>
  <c r="R56"/>
  <c r="S56"/>
  <c r="T56"/>
  <c r="U56"/>
  <c r="V56"/>
  <c r="W56"/>
  <c r="E57"/>
  <c r="F57"/>
  <c r="G57"/>
  <c r="H57"/>
  <c r="I57"/>
  <c r="K57"/>
  <c r="L57"/>
  <c r="M57"/>
  <c r="N57"/>
  <c r="O57"/>
  <c r="P57"/>
  <c r="Q57"/>
  <c r="R57"/>
  <c r="S57"/>
  <c r="AN57" s="1"/>
  <c r="T57"/>
  <c r="U57"/>
  <c r="V57"/>
  <c r="W57"/>
  <c r="E58"/>
  <c r="F58"/>
  <c r="G58"/>
  <c r="H58"/>
  <c r="I58"/>
  <c r="J58"/>
  <c r="AO58" s="1"/>
  <c r="K58"/>
  <c r="M58"/>
  <c r="N58"/>
  <c r="O58"/>
  <c r="P58"/>
  <c r="Q58"/>
  <c r="R58"/>
  <c r="S58"/>
  <c r="AN58" s="1"/>
  <c r="T58"/>
  <c r="U58"/>
  <c r="V58"/>
  <c r="W58"/>
  <c r="E59"/>
  <c r="F59"/>
  <c r="G59"/>
  <c r="H59"/>
  <c r="I59"/>
  <c r="J59"/>
  <c r="AO59" s="1"/>
  <c r="K59"/>
  <c r="M59"/>
  <c r="N59"/>
  <c r="O59"/>
  <c r="P59"/>
  <c r="Q59"/>
  <c r="R59"/>
  <c r="S59"/>
  <c r="AN59" s="1"/>
  <c r="T59"/>
  <c r="U59"/>
  <c r="V59"/>
  <c r="W59"/>
  <c r="E60"/>
  <c r="F60"/>
  <c r="G60"/>
  <c r="H60"/>
  <c r="I60"/>
  <c r="J60"/>
  <c r="AO60" s="1"/>
  <c r="K60"/>
  <c r="L60"/>
  <c r="M60"/>
  <c r="N60"/>
  <c r="O60"/>
  <c r="P60"/>
  <c r="Q60"/>
  <c r="R60"/>
  <c r="S60"/>
  <c r="AN60" s="1"/>
  <c r="U60"/>
  <c r="V60"/>
  <c r="W60"/>
  <c r="E61"/>
  <c r="F61"/>
  <c r="G61"/>
  <c r="H61"/>
  <c r="I61"/>
  <c r="J61"/>
  <c r="AO61" s="1"/>
  <c r="K61"/>
  <c r="L61"/>
  <c r="M61"/>
  <c r="N61"/>
  <c r="O61"/>
  <c r="P61"/>
  <c r="Q61"/>
  <c r="R61"/>
  <c r="S61"/>
  <c r="AN61" s="1"/>
  <c r="T61"/>
  <c r="U61"/>
  <c r="V61"/>
  <c r="W61"/>
  <c r="E62"/>
  <c r="F62"/>
  <c r="G62"/>
  <c r="H62"/>
  <c r="I62"/>
  <c r="J62"/>
  <c r="AO62" s="1"/>
  <c r="K62"/>
  <c r="L62"/>
  <c r="M62"/>
  <c r="N62"/>
  <c r="O62"/>
  <c r="P62"/>
  <c r="Q62"/>
  <c r="R62"/>
  <c r="S62"/>
  <c r="AN62" s="1"/>
  <c r="T62"/>
  <c r="U62"/>
  <c r="V62"/>
  <c r="W62"/>
  <c r="E63"/>
  <c r="F63"/>
  <c r="G63"/>
  <c r="H63"/>
  <c r="I63"/>
  <c r="J63"/>
  <c r="AO63" s="1"/>
  <c r="K63"/>
  <c r="L63"/>
  <c r="M63"/>
  <c r="N63"/>
  <c r="O63"/>
  <c r="P63"/>
  <c r="Q63"/>
  <c r="R63"/>
  <c r="S63"/>
  <c r="AN63" s="1"/>
  <c r="T63"/>
  <c r="U63"/>
  <c r="V63"/>
  <c r="W63"/>
  <c r="E64"/>
  <c r="F64"/>
  <c r="G64"/>
  <c r="H64"/>
  <c r="I64"/>
  <c r="J64"/>
  <c r="AO64" s="1"/>
  <c r="K64"/>
  <c r="L64"/>
  <c r="M64"/>
  <c r="N64"/>
  <c r="O64"/>
  <c r="P64"/>
  <c r="Q64"/>
  <c r="R64"/>
  <c r="S64"/>
  <c r="AN64" s="1"/>
  <c r="T64"/>
  <c r="U64"/>
  <c r="V64"/>
  <c r="W64"/>
  <c r="E65"/>
  <c r="F65"/>
  <c r="G65"/>
  <c r="H65"/>
  <c r="I65"/>
  <c r="J65"/>
  <c r="AO65" s="1"/>
  <c r="K65"/>
  <c r="L65"/>
  <c r="M65"/>
  <c r="N65"/>
  <c r="O65"/>
  <c r="P65"/>
  <c r="Q65"/>
  <c r="R65"/>
  <c r="S65"/>
  <c r="AN65" s="1"/>
  <c r="T65"/>
  <c r="U65"/>
  <c r="V65"/>
  <c r="W65"/>
  <c r="E66"/>
  <c r="F66"/>
  <c r="G66"/>
  <c r="H66"/>
  <c r="I66"/>
  <c r="J66"/>
  <c r="AO66" s="1"/>
  <c r="K66"/>
  <c r="L66"/>
  <c r="M66"/>
  <c r="N66"/>
  <c r="O66"/>
  <c r="P66"/>
  <c r="Q66"/>
  <c r="R66"/>
  <c r="S66"/>
  <c r="AN66" s="1"/>
  <c r="T66"/>
  <c r="U66"/>
  <c r="V66"/>
  <c r="W66"/>
  <c r="E67"/>
  <c r="F67"/>
  <c r="G67"/>
  <c r="H67"/>
  <c r="I67"/>
  <c r="J67"/>
  <c r="AO67" s="1"/>
  <c r="K67"/>
  <c r="L67"/>
  <c r="M67"/>
  <c r="N67"/>
  <c r="O67"/>
  <c r="P67"/>
  <c r="Q67"/>
  <c r="R67"/>
  <c r="S67"/>
  <c r="AN67" s="1"/>
  <c r="T67"/>
  <c r="U67"/>
  <c r="V67"/>
  <c r="W67"/>
  <c r="E68"/>
  <c r="F68"/>
  <c r="G68"/>
  <c r="H68"/>
  <c r="I68"/>
  <c r="J68"/>
  <c r="AO68" s="1"/>
  <c r="K68"/>
  <c r="L68"/>
  <c r="M68"/>
  <c r="N68"/>
  <c r="O68"/>
  <c r="P68"/>
  <c r="Q68"/>
  <c r="R68"/>
  <c r="S68"/>
  <c r="AN68" s="1"/>
  <c r="T68"/>
  <c r="U68"/>
  <c r="V68"/>
  <c r="W68"/>
  <c r="E69"/>
  <c r="F69"/>
  <c r="G69"/>
  <c r="H69"/>
  <c r="I69"/>
  <c r="J69"/>
  <c r="AO69" s="1"/>
  <c r="K69"/>
  <c r="L69"/>
  <c r="M69"/>
  <c r="N69"/>
  <c r="O69"/>
  <c r="P69"/>
  <c r="Q69"/>
  <c r="R69"/>
  <c r="S69"/>
  <c r="AN69" s="1"/>
  <c r="T69"/>
  <c r="U69"/>
  <c r="V69"/>
  <c r="W69"/>
  <c r="F55"/>
  <c r="G55"/>
  <c r="H55"/>
  <c r="I55"/>
  <c r="J55"/>
  <c r="AO55" s="1"/>
  <c r="K55"/>
  <c r="L55"/>
  <c r="M55"/>
  <c r="N55"/>
  <c r="O55"/>
  <c r="P55"/>
  <c r="Q55"/>
  <c r="R55"/>
  <c r="S55"/>
  <c r="AN55" s="1"/>
  <c r="T55"/>
  <c r="U55"/>
  <c r="V55"/>
  <c r="W55"/>
  <c r="E55"/>
  <c r="AM69"/>
  <c r="AM68"/>
  <c r="AM67"/>
  <c r="AM66"/>
  <c r="AM65"/>
  <c r="AM64"/>
  <c r="AM63"/>
  <c r="AM62"/>
  <c r="AM61"/>
  <c r="AM60"/>
  <c r="AM59"/>
  <c r="AM58"/>
  <c r="AM57"/>
  <c r="AM55"/>
  <c r="AR54"/>
  <c r="AQ54"/>
  <c r="AP54"/>
  <c r="AO48"/>
  <c r="AN48"/>
  <c r="AM48"/>
  <c r="D48"/>
  <c r="C48" s="1"/>
  <c r="AO47"/>
  <c r="AN47"/>
  <c r="AM47"/>
  <c r="D47"/>
  <c r="C47" s="1"/>
  <c r="AO46"/>
  <c r="AN46"/>
  <c r="AM46"/>
  <c r="D46"/>
  <c r="C46" s="1"/>
  <c r="AO45"/>
  <c r="AN45"/>
  <c r="AM45"/>
  <c r="D45"/>
  <c r="C45" s="1"/>
  <c r="AO44"/>
  <c r="AN44"/>
  <c r="AM44"/>
  <c r="D44"/>
  <c r="C44" s="1"/>
  <c r="AO43"/>
  <c r="AN43"/>
  <c r="AM43"/>
  <c r="D43"/>
  <c r="C43" s="1"/>
  <c r="AO42"/>
  <c r="AN42"/>
  <c r="AM42"/>
  <c r="D42"/>
  <c r="C42" s="1"/>
  <c r="AO41"/>
  <c r="AN41"/>
  <c r="AM41"/>
  <c r="D41"/>
  <c r="C41" s="1"/>
  <c r="AO40"/>
  <c r="AN40"/>
  <c r="AM40"/>
  <c r="D40"/>
  <c r="C40" s="1"/>
  <c r="AO39"/>
  <c r="AN39"/>
  <c r="AM39"/>
  <c r="D39"/>
  <c r="C39" s="1"/>
  <c r="AO38"/>
  <c r="AN38"/>
  <c r="AM38"/>
  <c r="D38"/>
  <c r="C38" s="1"/>
  <c r="AO37"/>
  <c r="AN37"/>
  <c r="AM37"/>
  <c r="D37"/>
  <c r="C37" s="1"/>
  <c r="AO36"/>
  <c r="AN36"/>
  <c r="AM36"/>
  <c r="D36"/>
  <c r="C36" s="1"/>
  <c r="AO35"/>
  <c r="AN35"/>
  <c r="AM35"/>
  <c r="D35"/>
  <c r="C35" s="1"/>
  <c r="C52" s="1"/>
  <c r="AO34"/>
  <c r="AN34"/>
  <c r="AN33" s="1"/>
  <c r="AM34"/>
  <c r="D34"/>
  <c r="C34" s="1"/>
  <c r="AR33"/>
  <c r="AQ33"/>
  <c r="AP33"/>
  <c r="AL33"/>
  <c r="AK33"/>
  <c r="AJ33"/>
  <c r="AI33"/>
  <c r="AH33"/>
  <c r="W33"/>
  <c r="V33"/>
  <c r="U33"/>
  <c r="T33"/>
  <c r="S33"/>
  <c r="R33"/>
  <c r="Q33"/>
  <c r="P33"/>
  <c r="O33"/>
  <c r="N33"/>
  <c r="M33"/>
  <c r="L33"/>
  <c r="K33"/>
  <c r="J33"/>
  <c r="I33"/>
  <c r="H33"/>
  <c r="G33"/>
  <c r="F33"/>
  <c r="E33"/>
  <c r="AN10"/>
  <c r="AN11"/>
  <c r="AN12"/>
  <c r="AN13"/>
  <c r="AN14"/>
  <c r="AN15"/>
  <c r="AN16"/>
  <c r="AN17"/>
  <c r="AN18"/>
  <c r="AN19"/>
  <c r="AN20"/>
  <c r="AN21"/>
  <c r="AN22"/>
  <c r="AN23"/>
  <c r="AN9"/>
  <c r="S8"/>
  <c r="AO33" l="1"/>
  <c r="M61" i="23"/>
  <c r="AB61" s="1"/>
  <c r="AC61" s="1"/>
  <c r="AB63"/>
  <c r="AC63" s="1"/>
  <c r="V50"/>
  <c r="V49" s="1"/>
  <c r="AA50"/>
  <c r="W50"/>
  <c r="W49" s="1"/>
  <c r="AB54"/>
  <c r="AC54" s="1"/>
  <c r="AB51"/>
  <c r="AC51" s="1"/>
  <c r="S50"/>
  <c r="S49" s="1"/>
  <c r="R50"/>
  <c r="R49" s="1"/>
  <c r="O50"/>
  <c r="O49" s="1"/>
  <c r="AL34" i="28"/>
  <c r="J34" s="1"/>
  <c r="Y41"/>
  <c r="Y50" i="23"/>
  <c r="Y49" s="1"/>
  <c r="U50"/>
  <c r="Q50"/>
  <c r="Q49" s="1"/>
  <c r="C35" i="28"/>
  <c r="X35" s="1"/>
  <c r="Q10" i="42"/>
  <c r="C35"/>
  <c r="X50" i="23"/>
  <c r="X49" s="1"/>
  <c r="T50"/>
  <c r="T49" s="1"/>
  <c r="AD32" i="28"/>
  <c r="Y39"/>
  <c r="C42" i="42"/>
  <c r="C46"/>
  <c r="Z50" i="23"/>
  <c r="Z49" s="1"/>
  <c r="Y45" i="28"/>
  <c r="Y37"/>
  <c r="M50" i="23"/>
  <c r="AP34" i="28"/>
  <c r="C44"/>
  <c r="Y44"/>
  <c r="C34" i="42"/>
  <c r="C38"/>
  <c r="C43"/>
  <c r="D9" i="32"/>
  <c r="AM56" i="22"/>
  <c r="AK56" s="1"/>
  <c r="C33" i="28"/>
  <c r="X33" s="1"/>
  <c r="AL47"/>
  <c r="J47" s="1"/>
  <c r="AE47" s="1"/>
  <c r="AL56" i="22"/>
  <c r="AL54" s="1"/>
  <c r="C38" i="28"/>
  <c r="X38" s="1"/>
  <c r="AL40"/>
  <c r="J40" s="1"/>
  <c r="AE40" s="1"/>
  <c r="Y46"/>
  <c r="C33" i="42"/>
  <c r="C37"/>
  <c r="C37" i="33"/>
  <c r="C34"/>
  <c r="AG32"/>
  <c r="AE32" s="1"/>
  <c r="AF32" s="1"/>
  <c r="AG36"/>
  <c r="AE36" s="1"/>
  <c r="AF36" s="1"/>
  <c r="AG40"/>
  <c r="AG44"/>
  <c r="C44"/>
  <c r="C31"/>
  <c r="W9" i="23"/>
  <c r="M46" i="28"/>
  <c r="C43" i="33"/>
  <c r="C40"/>
  <c r="AT8" i="22"/>
  <c r="AE39" i="28"/>
  <c r="C39"/>
  <c r="AE41"/>
  <c r="C41"/>
  <c r="AE42"/>
  <c r="C42"/>
  <c r="C36" i="42"/>
  <c r="C44"/>
  <c r="N26" i="21"/>
  <c r="V9" i="23"/>
  <c r="P50"/>
  <c r="P49" s="1"/>
  <c r="D32" i="28"/>
  <c r="C40"/>
  <c r="AB32"/>
  <c r="C34"/>
  <c r="X34" s="1"/>
  <c r="C36"/>
  <c r="X36" s="1"/>
  <c r="C37"/>
  <c r="K45"/>
  <c r="AF45" s="1"/>
  <c r="U9" i="23"/>
  <c r="Y33" i="28"/>
  <c r="AN32"/>
  <c r="AU32" s="1"/>
  <c r="Y35"/>
  <c r="AC32"/>
  <c r="K34"/>
  <c r="AF34" s="1"/>
  <c r="K40"/>
  <c r="AF40" s="1"/>
  <c r="K43"/>
  <c r="AF43" s="1"/>
  <c r="AL45"/>
  <c r="J45" s="1"/>
  <c r="AE45" s="1"/>
  <c r="AG34" i="33"/>
  <c r="AG38"/>
  <c r="AG42"/>
  <c r="AE42" s="1"/>
  <c r="AF42" s="1"/>
  <c r="C40" i="42"/>
  <c r="E9" i="32"/>
  <c r="X9" i="23"/>
  <c r="C38" i="33"/>
  <c r="C33"/>
  <c r="AN8" i="22"/>
  <c r="M23" i="67"/>
  <c r="N49" i="23"/>
  <c r="AA49"/>
  <c r="D66" i="22"/>
  <c r="C66" s="1"/>
  <c r="D55"/>
  <c r="C55" s="1"/>
  <c r="AG39" i="33"/>
  <c r="AE39" s="1"/>
  <c r="AF39" s="1"/>
  <c r="AG41"/>
  <c r="AE41" s="1"/>
  <c r="AF41" s="1"/>
  <c r="AG30"/>
  <c r="AE30" s="1"/>
  <c r="AF30" s="1"/>
  <c r="AG33"/>
  <c r="AG35"/>
  <c r="AE35" s="1"/>
  <c r="AF35" s="1"/>
  <c r="AG37"/>
  <c r="I9" i="32"/>
  <c r="H9"/>
  <c r="M10"/>
  <c r="L24"/>
  <c r="L23"/>
  <c r="L22"/>
  <c r="L21"/>
  <c r="L19"/>
  <c r="M18"/>
  <c r="M17"/>
  <c r="M16"/>
  <c r="M15"/>
  <c r="M14"/>
  <c r="M13"/>
  <c r="M12"/>
  <c r="L11"/>
  <c r="L10"/>
  <c r="M24"/>
  <c r="M23"/>
  <c r="M22"/>
  <c r="M21"/>
  <c r="M20"/>
  <c r="M19"/>
  <c r="L18"/>
  <c r="L17"/>
  <c r="L16"/>
  <c r="L15"/>
  <c r="L14"/>
  <c r="L13"/>
  <c r="L12"/>
  <c r="M11"/>
  <c r="M24" i="21"/>
  <c r="M22"/>
  <c r="M20"/>
  <c r="M18"/>
  <c r="M16"/>
  <c r="M14"/>
  <c r="M12"/>
  <c r="L20" i="32"/>
  <c r="AG37" i="22"/>
  <c r="AE37" s="1"/>
  <c r="AF37" s="1"/>
  <c r="D56"/>
  <c r="AG69"/>
  <c r="D65"/>
  <c r="C65" s="1"/>
  <c r="D64"/>
  <c r="C64" s="1"/>
  <c r="AG43" i="33"/>
  <c r="AG31"/>
  <c r="L23" i="67"/>
  <c r="D69" i="22"/>
  <c r="C69" s="1"/>
  <c r="V54"/>
  <c r="D68"/>
  <c r="C68" s="1"/>
  <c r="D67"/>
  <c r="C67" s="1"/>
  <c r="AG59"/>
  <c r="AG63"/>
  <c r="AG61"/>
  <c r="AG55"/>
  <c r="AG48"/>
  <c r="AE48" s="1"/>
  <c r="AF48" s="1"/>
  <c r="E54"/>
  <c r="W54"/>
  <c r="U54"/>
  <c r="Q54"/>
  <c r="M54"/>
  <c r="K54"/>
  <c r="I54"/>
  <c r="G54"/>
  <c r="R54"/>
  <c r="H54"/>
  <c r="D63"/>
  <c r="C63" s="1"/>
  <c r="AG62"/>
  <c r="D62"/>
  <c r="C62" s="1"/>
  <c r="D61"/>
  <c r="C61" s="1"/>
  <c r="AG60"/>
  <c r="AG58"/>
  <c r="AG34"/>
  <c r="AE34" s="1"/>
  <c r="AF34" s="1"/>
  <c r="O54"/>
  <c r="N54"/>
  <c r="AN54"/>
  <c r="F54"/>
  <c r="S54"/>
  <c r="P54"/>
  <c r="N32" i="28"/>
  <c r="M39"/>
  <c r="M37"/>
  <c r="X37" s="1"/>
  <c r="M41"/>
  <c r="M42"/>
  <c r="X42" s="1"/>
  <c r="M43"/>
  <c r="M44"/>
  <c r="AQ34"/>
  <c r="AE34"/>
  <c r="Y34"/>
  <c r="Y36"/>
  <c r="Y38"/>
  <c r="AO32"/>
  <c r="AV32" s="1"/>
  <c r="AE35"/>
  <c r="M40"/>
  <c r="AP40"/>
  <c r="AQ40" s="1"/>
  <c r="AL43"/>
  <c r="M45"/>
  <c r="AP45"/>
  <c r="AQ45" s="1"/>
  <c r="AL46"/>
  <c r="J46" s="1"/>
  <c r="AU46"/>
  <c r="M47"/>
  <c r="AP47"/>
  <c r="AQ47" s="1"/>
  <c r="AP43"/>
  <c r="AQ43" s="1"/>
  <c r="AS43"/>
  <c r="AG64" i="22"/>
  <c r="AG65"/>
  <c r="AG66"/>
  <c r="AG67"/>
  <c r="AG68"/>
  <c r="AG35"/>
  <c r="AE35" s="1"/>
  <c r="AF35" s="1"/>
  <c r="AG36"/>
  <c r="AE36" s="1"/>
  <c r="AF36" s="1"/>
  <c r="AG38"/>
  <c r="AE38" s="1"/>
  <c r="AF38" s="1"/>
  <c r="AG39"/>
  <c r="AE39" s="1"/>
  <c r="AF39" s="1"/>
  <c r="AG40"/>
  <c r="AE40" s="1"/>
  <c r="AF40" s="1"/>
  <c r="AG41"/>
  <c r="AE41" s="1"/>
  <c r="AF41" s="1"/>
  <c r="AG42"/>
  <c r="AE42" s="1"/>
  <c r="AF42" s="1"/>
  <c r="AG43"/>
  <c r="AE43" s="1"/>
  <c r="AF43" s="1"/>
  <c r="AG44"/>
  <c r="AE44" s="1"/>
  <c r="AG45"/>
  <c r="AE45" s="1"/>
  <c r="AF45" s="1"/>
  <c r="AG46"/>
  <c r="AE46" s="1"/>
  <c r="AF46" s="1"/>
  <c r="AG47"/>
  <c r="AE47" s="1"/>
  <c r="D33"/>
  <c r="C33" s="1"/>
  <c r="AM33"/>
  <c r="AN23" i="33"/>
  <c r="AM23"/>
  <c r="AM57" s="1"/>
  <c r="D23"/>
  <c r="D57" s="1"/>
  <c r="AN22"/>
  <c r="AM22"/>
  <c r="D22"/>
  <c r="D55" s="1"/>
  <c r="AN21"/>
  <c r="AM21"/>
  <c r="D21"/>
  <c r="D60" s="1"/>
  <c r="AN20"/>
  <c r="AM20"/>
  <c r="D20"/>
  <c r="AN19"/>
  <c r="AM19"/>
  <c r="AN18"/>
  <c r="AM18"/>
  <c r="D18"/>
  <c r="AN17"/>
  <c r="AM17"/>
  <c r="D17"/>
  <c r="D53" s="1"/>
  <c r="AN16"/>
  <c r="AM16"/>
  <c r="D16"/>
  <c r="D59" s="1"/>
  <c r="AN15"/>
  <c r="AM15"/>
  <c r="D15"/>
  <c r="AN14"/>
  <c r="AM14"/>
  <c r="D14"/>
  <c r="AN13"/>
  <c r="AM13"/>
  <c r="AN12"/>
  <c r="AM12"/>
  <c r="AN11"/>
  <c r="AM11"/>
  <c r="D11"/>
  <c r="AN10"/>
  <c r="AM10"/>
  <c r="AM56" s="1"/>
  <c r="D10"/>
  <c r="D56" s="1"/>
  <c r="AN9"/>
  <c r="AM9"/>
  <c r="AR8"/>
  <c r="AQ8"/>
  <c r="AP8"/>
  <c r="AL8"/>
  <c r="AK8"/>
  <c r="AJ8"/>
  <c r="AI8"/>
  <c r="AH8"/>
  <c r="W8"/>
  <c r="V8"/>
  <c r="U8"/>
  <c r="R8"/>
  <c r="Q8"/>
  <c r="P8"/>
  <c r="O8"/>
  <c r="N8"/>
  <c r="M8"/>
  <c r="K8"/>
  <c r="J8"/>
  <c r="I8"/>
  <c r="H8"/>
  <c r="G8"/>
  <c r="F8"/>
  <c r="E8"/>
  <c r="M49" i="23" l="1"/>
  <c r="AG20" i="33"/>
  <c r="AB50" i="23"/>
  <c r="U49"/>
  <c r="AG16" i="33"/>
  <c r="AM54" i="22"/>
  <c r="AG11" i="33"/>
  <c r="X8" i="23"/>
  <c r="AG14" i="33"/>
  <c r="AG18"/>
  <c r="AG22"/>
  <c r="AW32" i="28"/>
  <c r="X44"/>
  <c r="AE33" i="33"/>
  <c r="AF33" s="1"/>
  <c r="AG15"/>
  <c r="C47" i="28"/>
  <c r="AG9" i="33"/>
  <c r="AG17"/>
  <c r="AG21"/>
  <c r="X39" i="28"/>
  <c r="AE43" i="33"/>
  <c r="AF43" s="1"/>
  <c r="V8" i="23"/>
  <c r="AE40" i="33"/>
  <c r="AF40" s="1"/>
  <c r="AJ56" i="22"/>
  <c r="AH56" s="1"/>
  <c r="AH54" s="1"/>
  <c r="AN56" i="33"/>
  <c r="AG10"/>
  <c r="AG56" s="1"/>
  <c r="AN57"/>
  <c r="AG23"/>
  <c r="AG57" s="1"/>
  <c r="Y32" i="28"/>
  <c r="AE44" i="33"/>
  <c r="AF44" s="1"/>
  <c r="AE31"/>
  <c r="AF31" s="1"/>
  <c r="C45" i="28"/>
  <c r="X47"/>
  <c r="AE37" i="33"/>
  <c r="AF37" s="1"/>
  <c r="AI56" i="22"/>
  <c r="AK54"/>
  <c r="AE34" i="33"/>
  <c r="AF34" s="1"/>
  <c r="W8" i="23"/>
  <c r="C56" i="22"/>
  <c r="AF47"/>
  <c r="AV47" s="1"/>
  <c r="AU47"/>
  <c r="AF44"/>
  <c r="AV44" s="1"/>
  <c r="AU44"/>
  <c r="AE38" i="33"/>
  <c r="AF38" s="1"/>
  <c r="AE69" i="22"/>
  <c r="AF69" s="1"/>
  <c r="AQ32" i="28"/>
  <c r="K32"/>
  <c r="AF32" s="1"/>
  <c r="X40"/>
  <c r="X45"/>
  <c r="X41"/>
  <c r="AE55" i="22"/>
  <c r="AF55" s="1"/>
  <c r="AE66"/>
  <c r="AF66" s="1"/>
  <c r="AE64"/>
  <c r="AF64" s="1"/>
  <c r="AE61"/>
  <c r="AF61" s="1"/>
  <c r="AE62"/>
  <c r="AF62" s="1"/>
  <c r="C18" i="33"/>
  <c r="G19" i="32"/>
  <c r="D50" i="33"/>
  <c r="C11"/>
  <c r="G12" i="32"/>
  <c r="J12" s="1"/>
  <c r="AE67" i="22"/>
  <c r="AF67" s="1"/>
  <c r="AE65"/>
  <c r="AF65" s="1"/>
  <c r="AE63"/>
  <c r="AF63" s="1"/>
  <c r="L9" i="32"/>
  <c r="M9"/>
  <c r="C23" i="33"/>
  <c r="G24" i="32"/>
  <c r="C22" i="33"/>
  <c r="G23" i="32"/>
  <c r="C21" i="33"/>
  <c r="G22" i="32"/>
  <c r="C20" i="33"/>
  <c r="G21" i="32"/>
  <c r="C17" i="33"/>
  <c r="G18" i="32"/>
  <c r="C16" i="33"/>
  <c r="G17" i="32"/>
  <c r="C15" i="33"/>
  <c r="G16" i="32"/>
  <c r="C14" i="33"/>
  <c r="G15" i="32"/>
  <c r="C10" i="33"/>
  <c r="G11" i="32"/>
  <c r="AE68" i="22"/>
  <c r="AF68" s="1"/>
  <c r="AN8" i="33"/>
  <c r="D49"/>
  <c r="AM8"/>
  <c r="AG33" i="22"/>
  <c r="J43" i="28"/>
  <c r="AL32"/>
  <c r="M32"/>
  <c r="C46"/>
  <c r="X46" s="1"/>
  <c r="AE46"/>
  <c r="AP32"/>
  <c r="AE33" i="22"/>
  <c r="AB49" i="23" l="1"/>
  <c r="U8"/>
  <c r="AJ54" i="22"/>
  <c r="C60" i="33"/>
  <c r="AE14"/>
  <c r="AE15"/>
  <c r="C49"/>
  <c r="AE11"/>
  <c r="C56"/>
  <c r="C53"/>
  <c r="C59"/>
  <c r="C50"/>
  <c r="AE18"/>
  <c r="AE23"/>
  <c r="AG56" i="22"/>
  <c r="AI54"/>
  <c r="AF33"/>
  <c r="AE16" i="33"/>
  <c r="C57"/>
  <c r="AF56" i="22"/>
  <c r="AE22" i="33"/>
  <c r="C55"/>
  <c r="AE21"/>
  <c r="AE10"/>
  <c r="AE17"/>
  <c r="J19" i="32"/>
  <c r="AE20" i="33"/>
  <c r="J24" i="32"/>
  <c r="J23"/>
  <c r="J22"/>
  <c r="J21"/>
  <c r="J18"/>
  <c r="J17"/>
  <c r="J16"/>
  <c r="J15"/>
  <c r="J11"/>
  <c r="C43" i="28"/>
  <c r="AE43"/>
  <c r="J32"/>
  <c r="AE32" s="1"/>
  <c r="AF14" i="33" l="1"/>
  <c r="AF11"/>
  <c r="AF15"/>
  <c r="AF21"/>
  <c r="AE56"/>
  <c r="AF10"/>
  <c r="AF56" s="1"/>
  <c r="AF18"/>
  <c r="AF22"/>
  <c r="AF16"/>
  <c r="AF23"/>
  <c r="AF57" s="1"/>
  <c r="AE57"/>
  <c r="AE56" i="22"/>
  <c r="AF20" i="33"/>
  <c r="AF17"/>
  <c r="C32" i="28"/>
  <c r="X32" s="1"/>
  <c r="X43"/>
  <c r="AT11" l="1"/>
  <c r="AU11"/>
  <c r="AV11"/>
  <c r="AT12"/>
  <c r="AT13"/>
  <c r="AU13"/>
  <c r="AV13"/>
  <c r="AT14"/>
  <c r="AU14"/>
  <c r="AV14"/>
  <c r="AT15"/>
  <c r="AU15"/>
  <c r="AV15"/>
  <c r="AT16"/>
  <c r="AU16"/>
  <c r="AV16"/>
  <c r="AT17"/>
  <c r="AU17"/>
  <c r="AV17"/>
  <c r="AT18"/>
  <c r="AT19"/>
  <c r="AU19"/>
  <c r="AV19"/>
  <c r="AT20"/>
  <c r="AU20"/>
  <c r="AV20"/>
  <c r="AT21"/>
  <c r="AT22"/>
  <c r="AU22"/>
  <c r="AV22"/>
  <c r="AT23"/>
  <c r="AT24"/>
  <c r="AT25"/>
  <c r="AM10"/>
  <c r="AT10" s="1"/>
  <c r="AP13"/>
  <c r="AQ13" s="1"/>
  <c r="AP14"/>
  <c r="AQ14" s="1"/>
  <c r="AP15"/>
  <c r="AQ15" s="1"/>
  <c r="AP16"/>
  <c r="AQ16" s="1"/>
  <c r="AP17"/>
  <c r="AQ17" s="1"/>
  <c r="AP19"/>
  <c r="AQ19" s="1"/>
  <c r="AP20"/>
  <c r="AQ20" s="1"/>
  <c r="AP22"/>
  <c r="AQ22" s="1"/>
  <c r="AP11"/>
  <c r="AQ11" l="1"/>
  <c r="C12" i="34"/>
  <c r="C13"/>
  <c r="C14"/>
  <c r="C15"/>
  <c r="C16"/>
  <c r="C17"/>
  <c r="C18"/>
  <c r="C19"/>
  <c r="C21"/>
  <c r="C23"/>
  <c r="C28"/>
  <c r="C29"/>
  <c r="C30"/>
  <c r="C36"/>
  <c r="C37"/>
  <c r="C55"/>
  <c r="D49" i="37"/>
  <c r="E49"/>
  <c r="F49"/>
  <c r="G49"/>
  <c r="H49"/>
  <c r="I49"/>
  <c r="J49"/>
  <c r="K49"/>
  <c r="L49"/>
  <c r="M49"/>
  <c r="N49"/>
  <c r="O49"/>
  <c r="P49"/>
  <c r="Q49"/>
  <c r="R49"/>
  <c r="D33"/>
  <c r="E33"/>
  <c r="F33"/>
  <c r="G33"/>
  <c r="H33"/>
  <c r="I33"/>
  <c r="J33"/>
  <c r="K33"/>
  <c r="L33"/>
  <c r="M33"/>
  <c r="N33"/>
  <c r="O33"/>
  <c r="P33"/>
  <c r="Q33"/>
  <c r="R33"/>
  <c r="D9"/>
  <c r="E9"/>
  <c r="F9"/>
  <c r="G9"/>
  <c r="H9"/>
  <c r="I9"/>
  <c r="J9"/>
  <c r="K9"/>
  <c r="L9"/>
  <c r="M9"/>
  <c r="N9"/>
  <c r="O9"/>
  <c r="P9"/>
  <c r="Q9"/>
  <c r="R9"/>
  <c r="C11"/>
  <c r="C12"/>
  <c r="C13"/>
  <c r="C14"/>
  <c r="C15"/>
  <c r="C16"/>
  <c r="C17"/>
  <c r="C18"/>
  <c r="C19"/>
  <c r="C20"/>
  <c r="C21"/>
  <c r="C22"/>
  <c r="C23"/>
  <c r="C24"/>
  <c r="C25"/>
  <c r="C26"/>
  <c r="C27"/>
  <c r="C28"/>
  <c r="C29"/>
  <c r="C30"/>
  <c r="C31"/>
  <c r="C34"/>
  <c r="C35"/>
  <c r="C36"/>
  <c r="C37"/>
  <c r="C38"/>
  <c r="C39"/>
  <c r="C40"/>
  <c r="C41"/>
  <c r="C42"/>
  <c r="C43"/>
  <c r="C45"/>
  <c r="C46"/>
  <c r="C47"/>
  <c r="C48"/>
  <c r="C50"/>
  <c r="C51"/>
  <c r="C52"/>
  <c r="C53"/>
  <c r="C54"/>
  <c r="C55"/>
  <c r="C56"/>
  <c r="C57"/>
  <c r="C58"/>
  <c r="C59"/>
  <c r="C60"/>
  <c r="C61"/>
  <c r="C62"/>
  <c r="C63"/>
  <c r="C64"/>
  <c r="C65"/>
  <c r="C66"/>
  <c r="C67"/>
  <c r="C68"/>
  <c r="C69"/>
  <c r="C70"/>
  <c r="C10"/>
  <c r="B60" i="25"/>
  <c r="B61"/>
  <c r="B62"/>
  <c r="B63"/>
  <c r="B64"/>
  <c r="B65"/>
  <c r="B66"/>
  <c r="B67"/>
  <c r="B68"/>
  <c r="B69"/>
  <c r="B52"/>
  <c r="B53"/>
  <c r="B54"/>
  <c r="B55"/>
  <c r="B56"/>
  <c r="B57"/>
  <c r="B58"/>
  <c r="B59"/>
  <c r="B51"/>
  <c r="B50"/>
  <c r="B49"/>
  <c r="B48"/>
  <c r="B47"/>
  <c r="B46"/>
  <c r="B45"/>
  <c r="B36"/>
  <c r="B37"/>
  <c r="B38"/>
  <c r="B39"/>
  <c r="B40"/>
  <c r="B41"/>
  <c r="B42"/>
  <c r="B43"/>
  <c r="B44"/>
  <c r="B35"/>
  <c r="B34"/>
  <c r="B18"/>
  <c r="B19"/>
  <c r="B20"/>
  <c r="B21"/>
  <c r="B22"/>
  <c r="B23"/>
  <c r="B24"/>
  <c r="B25"/>
  <c r="B26"/>
  <c r="B27"/>
  <c r="B28"/>
  <c r="B29"/>
  <c r="B30"/>
  <c r="B31"/>
  <c r="B11" i="36"/>
  <c r="B10" i="25" s="1"/>
  <c r="C24" i="34"/>
  <c r="B12" i="25"/>
  <c r="B13"/>
  <c r="B14"/>
  <c r="B15"/>
  <c r="B16"/>
  <c r="B17"/>
  <c r="B11"/>
  <c r="C44" i="37" l="1"/>
  <c r="C9"/>
  <c r="C33"/>
  <c r="C49"/>
  <c r="C14" i="66"/>
  <c r="D17"/>
  <c r="D15" s="1"/>
  <c r="B16"/>
  <c r="C16" s="1"/>
  <c r="B13"/>
  <c r="B12" s="1"/>
  <c r="E15"/>
  <c r="E12"/>
  <c r="E5"/>
  <c r="E10"/>
  <c r="E8" s="1"/>
  <c r="C9"/>
  <c r="C7"/>
  <c r="C6"/>
  <c r="D12"/>
  <c r="D8"/>
  <c r="D5"/>
  <c r="D4" s="1"/>
  <c r="B5"/>
  <c r="B8"/>
  <c r="D16" i="20"/>
  <c r="D14"/>
  <c r="D12"/>
  <c r="AB12" i="28"/>
  <c r="AC12"/>
  <c r="AD12"/>
  <c r="AB13"/>
  <c r="AC13"/>
  <c r="AD13"/>
  <c r="AB14"/>
  <c r="AC14"/>
  <c r="AD14"/>
  <c r="AB15"/>
  <c r="AC15"/>
  <c r="AD15"/>
  <c r="AB16"/>
  <c r="AC16"/>
  <c r="AD16"/>
  <c r="AB17"/>
  <c r="AC17"/>
  <c r="AD17"/>
  <c r="AB18"/>
  <c r="AC18"/>
  <c r="AD18"/>
  <c r="AB19"/>
  <c r="AC19"/>
  <c r="AB20"/>
  <c r="AC20"/>
  <c r="AD20"/>
  <c r="AB21"/>
  <c r="AC21"/>
  <c r="AD21"/>
  <c r="AB22"/>
  <c r="AC22"/>
  <c r="AD22"/>
  <c r="AB23"/>
  <c r="AC23"/>
  <c r="AD23"/>
  <c r="AB24"/>
  <c r="AC24"/>
  <c r="AD24"/>
  <c r="AB25"/>
  <c r="AC25"/>
  <c r="AD25"/>
  <c r="AC11"/>
  <c r="M12"/>
  <c r="M21"/>
  <c r="M24"/>
  <c r="M25"/>
  <c r="K22"/>
  <c r="AF22" s="1"/>
  <c r="K20"/>
  <c r="AF20" s="1"/>
  <c r="K19"/>
  <c r="AF19" s="1"/>
  <c r="K17"/>
  <c r="K16"/>
  <c r="AF16" s="1"/>
  <c r="K15"/>
  <c r="K14"/>
  <c r="K13"/>
  <c r="AF13" s="1"/>
  <c r="K11"/>
  <c r="AO24"/>
  <c r="AV24" s="1"/>
  <c r="AN24"/>
  <c r="K24" s="1"/>
  <c r="AF24" s="1"/>
  <c r="AN25"/>
  <c r="AO25"/>
  <c r="AO23"/>
  <c r="AV23" s="1"/>
  <c r="AN23"/>
  <c r="K23" s="1"/>
  <c r="AO21"/>
  <c r="AN21"/>
  <c r="AO12"/>
  <c r="AN12"/>
  <c r="K12" s="1"/>
  <c r="AF12" s="1"/>
  <c r="AL13"/>
  <c r="J13" s="1"/>
  <c r="AL14"/>
  <c r="J14" s="1"/>
  <c r="AL15"/>
  <c r="J15" s="1"/>
  <c r="AL16"/>
  <c r="J16" s="1"/>
  <c r="AL17"/>
  <c r="J17" s="1"/>
  <c r="AL19"/>
  <c r="J19" s="1"/>
  <c r="AL20"/>
  <c r="J20" s="1"/>
  <c r="AL22"/>
  <c r="J22" s="1"/>
  <c r="AL11"/>
  <c r="AO18"/>
  <c r="AV18" s="1"/>
  <c r="AN18"/>
  <c r="K18" s="1"/>
  <c r="D12"/>
  <c r="D13"/>
  <c r="D14"/>
  <c r="D15"/>
  <c r="D16"/>
  <c r="D17"/>
  <c r="D18"/>
  <c r="D19"/>
  <c r="D20"/>
  <c r="D21"/>
  <c r="D22"/>
  <c r="D23"/>
  <c r="D24"/>
  <c r="D25"/>
  <c r="D11"/>
  <c r="E10"/>
  <c r="F10"/>
  <c r="G10"/>
  <c r="H10"/>
  <c r="I10"/>
  <c r="L10"/>
  <c r="O10"/>
  <c r="P10"/>
  <c r="Q10"/>
  <c r="R10"/>
  <c r="W10"/>
  <c r="F41" i="19"/>
  <c r="E50"/>
  <c r="E48" s="1"/>
  <c r="E31"/>
  <c r="F64"/>
  <c r="F25"/>
  <c r="F27"/>
  <c r="F28"/>
  <c r="F30"/>
  <c r="F32"/>
  <c r="F33"/>
  <c r="F35"/>
  <c r="F36"/>
  <c r="F44"/>
  <c r="F47"/>
  <c r="F49"/>
  <c r="F51"/>
  <c r="F52"/>
  <c r="E26"/>
  <c r="E45"/>
  <c r="C20"/>
  <c r="C62"/>
  <c r="E21" s="1"/>
  <c r="F21" s="1"/>
  <c r="C60"/>
  <c r="E19" s="1"/>
  <c r="C58"/>
  <c r="C57"/>
  <c r="C50"/>
  <c r="C45"/>
  <c r="C31"/>
  <c r="C29" s="1"/>
  <c r="C26"/>
  <c r="C15"/>
  <c r="C55"/>
  <c r="E14" s="1"/>
  <c r="C40"/>
  <c r="C39" s="1"/>
  <c r="C34"/>
  <c r="C66" s="1"/>
  <c r="C25" i="34" l="1"/>
  <c r="C26"/>
  <c r="E17" i="19"/>
  <c r="F17" s="1"/>
  <c r="D17"/>
  <c r="C8" i="37"/>
  <c r="Y23" i="28"/>
  <c r="C56" i="19"/>
  <c r="E15" s="1"/>
  <c r="F15" s="1"/>
  <c r="F31"/>
  <c r="Y15" i="28"/>
  <c r="C13" i="66"/>
  <c r="C12" s="1"/>
  <c r="E16" i="19"/>
  <c r="E57" s="1"/>
  <c r="F57" s="1"/>
  <c r="AB10" i="28"/>
  <c r="AL18"/>
  <c r="J18" s="1"/>
  <c r="B15" i="66"/>
  <c r="C17"/>
  <c r="C15" s="1"/>
  <c r="F45" i="19"/>
  <c r="AC10" i="28"/>
  <c r="C5" i="66"/>
  <c r="E55" i="19"/>
  <c r="F55" s="1"/>
  <c r="F14"/>
  <c r="F19"/>
  <c r="E60"/>
  <c r="F60" s="1"/>
  <c r="E43"/>
  <c r="AL25" i="28"/>
  <c r="J25" s="1"/>
  <c r="AE25" s="1"/>
  <c r="AV25"/>
  <c r="Y20"/>
  <c r="E62" i="19"/>
  <c r="F62" s="1"/>
  <c r="AN10" i="28"/>
  <c r="AU10" s="1"/>
  <c r="AP12"/>
  <c r="AU12"/>
  <c r="AL23"/>
  <c r="J23" s="1"/>
  <c r="AU23"/>
  <c r="AP23"/>
  <c r="AQ23" s="1"/>
  <c r="AP24"/>
  <c r="AQ24" s="1"/>
  <c r="AU24"/>
  <c r="Y22"/>
  <c r="Y18"/>
  <c r="Y14"/>
  <c r="B4" i="66"/>
  <c r="C10"/>
  <c r="C8" s="1"/>
  <c r="C4" s="1"/>
  <c r="E4"/>
  <c r="AV12" i="28"/>
  <c r="AO10"/>
  <c r="AV10" s="1"/>
  <c r="F50" i="19"/>
  <c r="AS21" i="28"/>
  <c r="AU21"/>
  <c r="AP21"/>
  <c r="AQ21" s="1"/>
  <c r="J11"/>
  <c r="Y24"/>
  <c r="Y16"/>
  <c r="Y12"/>
  <c r="AU18"/>
  <c r="AP18"/>
  <c r="AQ18" s="1"/>
  <c r="AL12"/>
  <c r="J12" s="1"/>
  <c r="AL21"/>
  <c r="J21" s="1"/>
  <c r="AE21" s="1"/>
  <c r="AV21"/>
  <c r="AP25"/>
  <c r="AQ25" s="1"/>
  <c r="AU25"/>
  <c r="K21"/>
  <c r="AF21" s="1"/>
  <c r="K25"/>
  <c r="AF25" s="1"/>
  <c r="Y25"/>
  <c r="Y21"/>
  <c r="Y17"/>
  <c r="Y13"/>
  <c r="C16"/>
  <c r="C20"/>
  <c r="C17"/>
  <c r="C13"/>
  <c r="C19"/>
  <c r="C15"/>
  <c r="C22"/>
  <c r="C14"/>
  <c r="C11"/>
  <c r="AL24"/>
  <c r="J24" s="1"/>
  <c r="AE24" s="1"/>
  <c r="D10"/>
  <c r="E29" i="19"/>
  <c r="F29" s="1"/>
  <c r="F26"/>
  <c r="C24"/>
  <c r="C23" s="1"/>
  <c r="E58" l="1"/>
  <c r="F58" s="1"/>
  <c r="F16"/>
  <c r="C18" i="28"/>
  <c r="C24"/>
  <c r="X24" s="1"/>
  <c r="C25"/>
  <c r="X25" s="1"/>
  <c r="AL10"/>
  <c r="C23"/>
  <c r="E24" i="19"/>
  <c r="E23" s="1"/>
  <c r="F23" s="1"/>
  <c r="J10" i="28"/>
  <c r="C21"/>
  <c r="X21" s="1"/>
  <c r="K10"/>
  <c r="C12"/>
  <c r="X12" s="1"/>
  <c r="AE12"/>
  <c r="AW10"/>
  <c r="AQ12"/>
  <c r="AQ10" s="1"/>
  <c r="AP10"/>
  <c r="E56" i="19" l="1"/>
  <c r="F56" s="1"/>
  <c r="F24"/>
  <c r="C10" i="28"/>
  <c r="C27" i="8"/>
  <c r="C15"/>
  <c r="E15" s="1"/>
  <c r="C14"/>
  <c r="E14" s="1"/>
  <c r="C13"/>
  <c r="E13" s="1"/>
  <c r="C11"/>
  <c r="G57" i="14"/>
  <c r="G58"/>
  <c r="H58" s="1"/>
  <c r="E62"/>
  <c r="F62" s="1"/>
  <c r="E58"/>
  <c r="F58" s="1"/>
  <c r="F57"/>
  <c r="D57"/>
  <c r="C62"/>
  <c r="D62" s="1"/>
  <c r="C58"/>
  <c r="D58" s="1"/>
  <c r="AO10" i="22"/>
  <c r="AO12"/>
  <c r="AO13"/>
  <c r="AO14"/>
  <c r="AO15"/>
  <c r="AO16"/>
  <c r="AO17"/>
  <c r="AO18"/>
  <c r="AO19"/>
  <c r="AO20"/>
  <c r="AO21"/>
  <c r="AO22"/>
  <c r="AO23"/>
  <c r="AO9"/>
  <c r="AM10"/>
  <c r="AM11"/>
  <c r="AM12"/>
  <c r="AM13"/>
  <c r="AM14"/>
  <c r="AM15"/>
  <c r="AM16"/>
  <c r="AM17"/>
  <c r="AM18"/>
  <c r="AM19"/>
  <c r="AM20"/>
  <c r="AM21"/>
  <c r="AM22"/>
  <c r="AM23"/>
  <c r="AM9"/>
  <c r="AQ8"/>
  <c r="AH8"/>
  <c r="AI8"/>
  <c r="AJ8"/>
  <c r="AK8"/>
  <c r="AL8"/>
  <c r="AR8"/>
  <c r="E8"/>
  <c r="F8"/>
  <c r="G8"/>
  <c r="H8"/>
  <c r="I8"/>
  <c r="K8"/>
  <c r="M8"/>
  <c r="N8"/>
  <c r="O8"/>
  <c r="P8"/>
  <c r="Q8"/>
  <c r="R8"/>
  <c r="U8"/>
  <c r="V8"/>
  <c r="W8"/>
  <c r="D10"/>
  <c r="D15"/>
  <c r="D16"/>
  <c r="D17"/>
  <c r="D18"/>
  <c r="D19"/>
  <c r="D20"/>
  <c r="D21"/>
  <c r="D22"/>
  <c r="D23"/>
  <c r="D9"/>
  <c r="E10" i="21"/>
  <c r="E27" s="1"/>
  <c r="F10"/>
  <c r="F27" s="1"/>
  <c r="I10"/>
  <c r="I27" s="1"/>
  <c r="D10"/>
  <c r="D27" s="1"/>
  <c r="AG9" i="22" l="1"/>
  <c r="H57" i="14"/>
  <c r="H56" s="1"/>
  <c r="AM8" i="22"/>
  <c r="M27" i="21"/>
  <c r="G20"/>
  <c r="J20" s="1"/>
  <c r="N20" s="1"/>
  <c r="C19" i="32"/>
  <c r="G25" i="21"/>
  <c r="J25" s="1"/>
  <c r="N25" s="1"/>
  <c r="C24" i="32"/>
  <c r="G24" i="21"/>
  <c r="J24" s="1"/>
  <c r="N24" s="1"/>
  <c r="C23" i="32"/>
  <c r="G22" i="21"/>
  <c r="J22" s="1"/>
  <c r="N22" s="1"/>
  <c r="C21" i="32"/>
  <c r="G23" i="21"/>
  <c r="J23" s="1"/>
  <c r="N23" s="1"/>
  <c r="C22" i="32"/>
  <c r="G21" i="21"/>
  <c r="J21" s="1"/>
  <c r="N21" s="1"/>
  <c r="C20" i="32"/>
  <c r="C10"/>
  <c r="G11" i="21"/>
  <c r="G18"/>
  <c r="J18" s="1"/>
  <c r="N18" s="1"/>
  <c r="C17" i="32"/>
  <c r="G12" i="21"/>
  <c r="J12" s="1"/>
  <c r="N12" s="1"/>
  <c r="C11" i="32"/>
  <c r="G19" i="21"/>
  <c r="J19" s="1"/>
  <c r="N19" s="1"/>
  <c r="C18" i="32"/>
  <c r="G17" i="21"/>
  <c r="J17" s="1"/>
  <c r="N17" s="1"/>
  <c r="C16" i="32"/>
  <c r="M10" i="21"/>
  <c r="C18" i="22"/>
  <c r="BA18" s="1"/>
  <c r="C22"/>
  <c r="BA22" s="1"/>
  <c r="C20"/>
  <c r="BA20" s="1"/>
  <c r="C21"/>
  <c r="BA21" s="1"/>
  <c r="C15"/>
  <c r="BA15" s="1"/>
  <c r="C9"/>
  <c r="BA9" s="1"/>
  <c r="C17"/>
  <c r="BA17" s="1"/>
  <c r="C23"/>
  <c r="BA23" s="1"/>
  <c r="C19"/>
  <c r="BA19" s="1"/>
  <c r="C16"/>
  <c r="BA16" s="1"/>
  <c r="C10"/>
  <c r="BA10" s="1"/>
  <c r="G63" i="14"/>
  <c r="H63" s="1"/>
  <c r="H62" s="1"/>
  <c r="AE9" i="22" l="1"/>
  <c r="AF9" s="1"/>
  <c r="F19" i="32"/>
  <c r="N19" s="1"/>
  <c r="K19"/>
  <c r="F20"/>
  <c r="F22"/>
  <c r="N22" s="1"/>
  <c r="K22"/>
  <c r="F21"/>
  <c r="N21" s="1"/>
  <c r="K21"/>
  <c r="F23"/>
  <c r="N23" s="1"/>
  <c r="K23"/>
  <c r="F24"/>
  <c r="N24" s="1"/>
  <c r="K24"/>
  <c r="F10"/>
  <c r="F16"/>
  <c r="N16" s="1"/>
  <c r="K16"/>
  <c r="F18"/>
  <c r="N18" s="1"/>
  <c r="K18"/>
  <c r="F11"/>
  <c r="K11"/>
  <c r="F17"/>
  <c r="N17" s="1"/>
  <c r="K17"/>
  <c r="J11" i="21"/>
  <c r="K11"/>
  <c r="L13"/>
  <c r="K20"/>
  <c r="L20"/>
  <c r="L23"/>
  <c r="K23"/>
  <c r="L22"/>
  <c r="K22"/>
  <c r="L24"/>
  <c r="K24"/>
  <c r="L15"/>
  <c r="L16"/>
  <c r="L17"/>
  <c r="K17"/>
  <c r="L19"/>
  <c r="K19"/>
  <c r="K25"/>
  <c r="L25"/>
  <c r="L21"/>
  <c r="K21"/>
  <c r="L18"/>
  <c r="K18"/>
  <c r="L14"/>
  <c r="L12"/>
  <c r="H10"/>
  <c r="H59" i="14"/>
  <c r="B68" i="19"/>
  <c r="AU9" i="22" l="1"/>
  <c r="N11" i="32"/>
  <c r="AV9" i="22"/>
  <c r="L10" i="21"/>
  <c r="H27"/>
  <c r="L27" s="1"/>
  <c r="N11"/>
  <c r="K12"/>
  <c r="C49" i="24"/>
  <c r="F49" s="1"/>
  <c r="C48"/>
  <c r="C47"/>
  <c r="F47" s="1"/>
  <c r="C46"/>
  <c r="C45"/>
  <c r="F45" s="1"/>
  <c r="C44"/>
  <c r="F44" s="1"/>
  <c r="C43"/>
  <c r="C42"/>
  <c r="G42" s="1"/>
  <c r="C41"/>
  <c r="C40"/>
  <c r="G40" s="1"/>
  <c r="C39"/>
  <c r="F39" s="1"/>
  <c r="C38"/>
  <c r="G38" s="1"/>
  <c r="C37"/>
  <c r="F37" s="1"/>
  <c r="C36"/>
  <c r="C35"/>
  <c r="C34"/>
  <c r="G34" s="1"/>
  <c r="C33"/>
  <c r="C30"/>
  <c r="G30" s="1"/>
  <c r="C28"/>
  <c r="C27"/>
  <c r="F27" s="1"/>
  <c r="F26"/>
  <c r="F25"/>
  <c r="F24"/>
  <c r="F23"/>
  <c r="F22"/>
  <c r="F21"/>
  <c r="F20"/>
  <c r="F19"/>
  <c r="F18"/>
  <c r="F17"/>
  <c r="F16"/>
  <c r="F15"/>
  <c r="F14"/>
  <c r="C83" i="23"/>
  <c r="F82"/>
  <c r="E82"/>
  <c r="D82"/>
  <c r="E67"/>
  <c r="F66"/>
  <c r="E66"/>
  <c r="F65"/>
  <c r="E65"/>
  <c r="J65"/>
  <c r="F64"/>
  <c r="E64"/>
  <c r="J64"/>
  <c r="F62"/>
  <c r="E52" i="15" s="1"/>
  <c r="F56" i="23"/>
  <c r="D56"/>
  <c r="F55"/>
  <c r="F54"/>
  <c r="E50" i="15" s="1"/>
  <c r="F53" i="23"/>
  <c r="F52"/>
  <c r="D52"/>
  <c r="F51"/>
  <c r="E49" i="15" s="1"/>
  <c r="F48" i="23"/>
  <c r="E46" i="15" s="1"/>
  <c r="E48" i="23"/>
  <c r="D48"/>
  <c r="F47"/>
  <c r="E45" i="15" s="1"/>
  <c r="D47" i="23"/>
  <c r="J47" s="1"/>
  <c r="F46"/>
  <c r="E44" i="15" s="1"/>
  <c r="D46" i="23"/>
  <c r="F45"/>
  <c r="E43" i="15" s="1"/>
  <c r="D45" i="23"/>
  <c r="J45" s="1"/>
  <c r="D44"/>
  <c r="D43"/>
  <c r="D42"/>
  <c r="D41"/>
  <c r="D40"/>
  <c r="D39"/>
  <c r="D38"/>
  <c r="F38" s="1"/>
  <c r="E36" i="15" s="1"/>
  <c r="D37" i="23"/>
  <c r="D36"/>
  <c r="D35"/>
  <c r="D34"/>
  <c r="F32"/>
  <c r="E30" i="15" s="1"/>
  <c r="D32" i="23"/>
  <c r="J32" s="1"/>
  <c r="D30"/>
  <c r="F28"/>
  <c r="F26"/>
  <c r="E24" i="15" s="1"/>
  <c r="C26" i="23"/>
  <c r="F25"/>
  <c r="C25"/>
  <c r="F22"/>
  <c r="C22"/>
  <c r="F21"/>
  <c r="E21" i="15" s="1"/>
  <c r="I21" s="1"/>
  <c r="C21" i="23"/>
  <c r="F20"/>
  <c r="C20"/>
  <c r="F19"/>
  <c r="F18"/>
  <c r="E18" i="15" s="1"/>
  <c r="E18" i="23"/>
  <c r="K18" s="1"/>
  <c r="D18"/>
  <c r="J18" s="1"/>
  <c r="D17"/>
  <c r="J17" s="1"/>
  <c r="F16"/>
  <c r="E16" i="15" s="1"/>
  <c r="I16" s="1"/>
  <c r="G15" i="23"/>
  <c r="G11" s="1"/>
  <c r="C14"/>
  <c r="C13"/>
  <c r="C12"/>
  <c r="E36" i="20"/>
  <c r="E35"/>
  <c r="E34"/>
  <c r="E31"/>
  <c r="E30"/>
  <c r="E24"/>
  <c r="E22"/>
  <c r="C20"/>
  <c r="D19"/>
  <c r="E16"/>
  <c r="E14"/>
  <c r="C12"/>
  <c r="E56" i="23"/>
  <c r="K56" s="1"/>
  <c r="G25" i="8"/>
  <c r="E19" i="23"/>
  <c r="D19"/>
  <c r="D37" i="8"/>
  <c r="D35" s="1"/>
  <c r="D21" i="10"/>
  <c r="K10" s="1"/>
  <c r="D23" i="8"/>
  <c r="C51" i="15"/>
  <c r="C48"/>
  <c r="D31"/>
  <c r="D29"/>
  <c r="F26"/>
  <c r="D16"/>
  <c r="C15"/>
  <c r="C10" s="1"/>
  <c r="F14"/>
  <c r="F13"/>
  <c r="F12"/>
  <c r="H70" i="14"/>
  <c r="F70"/>
  <c r="E70"/>
  <c r="I70" s="1"/>
  <c r="D70"/>
  <c r="C70"/>
  <c r="I66"/>
  <c r="H66"/>
  <c r="F66"/>
  <c r="D66"/>
  <c r="I65"/>
  <c r="H65"/>
  <c r="F65"/>
  <c r="D65"/>
  <c r="I59"/>
  <c r="F59"/>
  <c r="D59"/>
  <c r="I56"/>
  <c r="F56"/>
  <c r="D56"/>
  <c r="J55"/>
  <c r="I55"/>
  <c r="J54"/>
  <c r="I54"/>
  <c r="J53"/>
  <c r="I53"/>
  <c r="J52"/>
  <c r="I52"/>
  <c r="I51"/>
  <c r="H51"/>
  <c r="F51"/>
  <c r="D51"/>
  <c r="H50"/>
  <c r="I49"/>
  <c r="H49"/>
  <c r="F49"/>
  <c r="D49"/>
  <c r="I48"/>
  <c r="H48"/>
  <c r="F48"/>
  <c r="D48"/>
  <c r="I47"/>
  <c r="H47"/>
  <c r="F47"/>
  <c r="D47"/>
  <c r="H46"/>
  <c r="I45"/>
  <c r="H45"/>
  <c r="F45"/>
  <c r="I44"/>
  <c r="H44"/>
  <c r="F44"/>
  <c r="I43"/>
  <c r="H43"/>
  <c r="F43"/>
  <c r="G42"/>
  <c r="G40" s="1"/>
  <c r="E42"/>
  <c r="E40" s="1"/>
  <c r="D42"/>
  <c r="I41"/>
  <c r="C40"/>
  <c r="I39"/>
  <c r="H39"/>
  <c r="F39"/>
  <c r="D39"/>
  <c r="I38"/>
  <c r="F37"/>
  <c r="F36" s="1"/>
  <c r="D37"/>
  <c r="E36"/>
  <c r="C36"/>
  <c r="I35"/>
  <c r="H35"/>
  <c r="F35"/>
  <c r="D35"/>
  <c r="I33"/>
  <c r="H33"/>
  <c r="F33"/>
  <c r="D33"/>
  <c r="I32"/>
  <c r="F32"/>
  <c r="D32"/>
  <c r="I31"/>
  <c r="H31"/>
  <c r="F31"/>
  <c r="D31"/>
  <c r="I30"/>
  <c r="H30"/>
  <c r="F30"/>
  <c r="D30"/>
  <c r="G29"/>
  <c r="C17" i="9" s="1"/>
  <c r="E29" i="14"/>
  <c r="C29"/>
  <c r="I27"/>
  <c r="H27"/>
  <c r="F27"/>
  <c r="D27"/>
  <c r="I26"/>
  <c r="H26"/>
  <c r="F26"/>
  <c r="D26"/>
  <c r="I25"/>
  <c r="H25"/>
  <c r="F25"/>
  <c r="D25"/>
  <c r="I24"/>
  <c r="H24"/>
  <c r="F24"/>
  <c r="D24"/>
  <c r="I23"/>
  <c r="H23"/>
  <c r="F23"/>
  <c r="D23"/>
  <c r="G22"/>
  <c r="C16" i="9" s="1"/>
  <c r="E22" i="14"/>
  <c r="C22"/>
  <c r="H21"/>
  <c r="I20"/>
  <c r="H20"/>
  <c r="F20"/>
  <c r="D20"/>
  <c r="I19"/>
  <c r="H19"/>
  <c r="F19"/>
  <c r="D19"/>
  <c r="I18"/>
  <c r="H18"/>
  <c r="F18"/>
  <c r="D18"/>
  <c r="G17"/>
  <c r="C15" i="9" s="1"/>
  <c r="E17" i="14"/>
  <c r="C17"/>
  <c r="H16"/>
  <c r="I15"/>
  <c r="H15"/>
  <c r="F15"/>
  <c r="D15"/>
  <c r="I14"/>
  <c r="H14"/>
  <c r="F14"/>
  <c r="D14"/>
  <c r="I13"/>
  <c r="H13"/>
  <c r="F13"/>
  <c r="D13"/>
  <c r="G12"/>
  <c r="C14" i="9" s="1"/>
  <c r="E12" i="14"/>
  <c r="C12"/>
  <c r="H36" i="13"/>
  <c r="G36"/>
  <c r="G35"/>
  <c r="F34"/>
  <c r="E34"/>
  <c r="C34"/>
  <c r="H33"/>
  <c r="G33"/>
  <c r="G32"/>
  <c r="F31"/>
  <c r="E31"/>
  <c r="C31"/>
  <c r="E25"/>
  <c r="C23" i="8" s="1"/>
  <c r="E24" i="13"/>
  <c r="C22" i="8" s="1"/>
  <c r="E23" i="13"/>
  <c r="E22"/>
  <c r="C21"/>
  <c r="G17"/>
  <c r="G16"/>
  <c r="G15"/>
  <c r="H13"/>
  <c r="G13"/>
  <c r="D33" i="10"/>
  <c r="C33"/>
  <c r="G26"/>
  <c r="G24" s="1"/>
  <c r="G38" s="1"/>
  <c r="F26"/>
  <c r="F24" s="1"/>
  <c r="D26"/>
  <c r="G18"/>
  <c r="G16" s="1"/>
  <c r="F18"/>
  <c r="F16" s="1"/>
  <c r="D18"/>
  <c r="G10"/>
  <c r="G8" s="1"/>
  <c r="F10"/>
  <c r="F8" s="1"/>
  <c r="G7" i="9"/>
  <c r="F7"/>
  <c r="F29" s="1"/>
  <c r="G35" i="8"/>
  <c r="I32"/>
  <c r="I37" s="1"/>
  <c r="I35" s="1"/>
  <c r="H32"/>
  <c r="H37" s="1"/>
  <c r="H36" s="1"/>
  <c r="H35" s="1"/>
  <c r="G32"/>
  <c r="I24"/>
  <c r="H24"/>
  <c r="I17"/>
  <c r="H17"/>
  <c r="I10"/>
  <c r="I8" s="1"/>
  <c r="H10"/>
  <c r="H8" s="1"/>
  <c r="F31" i="10" l="1"/>
  <c r="F32" s="1"/>
  <c r="C28" i="20"/>
  <c r="F28" s="1"/>
  <c r="C9" i="11"/>
  <c r="C10" i="24"/>
  <c r="C34" i="8"/>
  <c r="C32" s="1"/>
  <c r="D15" i="20"/>
  <c r="E15" s="1"/>
  <c r="E23" i="8"/>
  <c r="C37"/>
  <c r="C35" s="1"/>
  <c r="E35" s="1"/>
  <c r="C13" i="20"/>
  <c r="D11" i="8"/>
  <c r="L18"/>
  <c r="L19"/>
  <c r="K19"/>
  <c r="K18"/>
  <c r="F22" i="10"/>
  <c r="D14" i="9"/>
  <c r="E14" s="1"/>
  <c r="D15"/>
  <c r="E15" s="1"/>
  <c r="D17"/>
  <c r="E17" s="1"/>
  <c r="G18" i="15"/>
  <c r="I18"/>
  <c r="E52" i="23"/>
  <c r="K52" s="1"/>
  <c r="J62"/>
  <c r="C16" i="11"/>
  <c r="E16" s="1"/>
  <c r="J56" i="23"/>
  <c r="F50"/>
  <c r="F30" i="15"/>
  <c r="G30"/>
  <c r="F36"/>
  <c r="G36"/>
  <c r="G12" i="9"/>
  <c r="G29"/>
  <c r="AC50" i="23"/>
  <c r="E46" i="24"/>
  <c r="J41" i="23"/>
  <c r="J37"/>
  <c r="J42"/>
  <c r="J40"/>
  <c r="F40"/>
  <c r="E38" i="15" s="1"/>
  <c r="J43" i="23"/>
  <c r="J39"/>
  <c r="F39"/>
  <c r="E37" i="15" s="1"/>
  <c r="F35" i="23"/>
  <c r="E33" i="15" s="1"/>
  <c r="J30" i="23"/>
  <c r="J44"/>
  <c r="G67"/>
  <c r="J67" s="1"/>
  <c r="H16" i="8"/>
  <c r="H28" s="1"/>
  <c r="F12" i="14"/>
  <c r="D17"/>
  <c r="D11" i="34"/>
  <c r="G44" i="24"/>
  <c r="F46" i="15"/>
  <c r="I29" i="14"/>
  <c r="I42"/>
  <c r="D34" i="8"/>
  <c r="I12" i="14"/>
  <c r="F42"/>
  <c r="F40" s="1"/>
  <c r="H42"/>
  <c r="H40" s="1"/>
  <c r="G22" i="10"/>
  <c r="C18" i="23"/>
  <c r="I18" s="1"/>
  <c r="H34" i="13"/>
  <c r="H12" i="14"/>
  <c r="I22"/>
  <c r="J33"/>
  <c r="D40"/>
  <c r="E20" i="15"/>
  <c r="I20" s="1"/>
  <c r="D25"/>
  <c r="E63" i="23"/>
  <c r="E12" i="13"/>
  <c r="H22" i="14"/>
  <c r="J65"/>
  <c r="E22" i="15"/>
  <c r="I22" s="1"/>
  <c r="C47"/>
  <c r="G44"/>
  <c r="F23" i="13"/>
  <c r="D21" i="8" s="1"/>
  <c r="J14" i="14"/>
  <c r="I17"/>
  <c r="D22"/>
  <c r="J26"/>
  <c r="J30"/>
  <c r="J47"/>
  <c r="F16" i="15"/>
  <c r="I66" i="23"/>
  <c r="F30" i="24"/>
  <c r="F34"/>
  <c r="F38"/>
  <c r="F40"/>
  <c r="F42"/>
  <c r="F48"/>
  <c r="C20" i="8"/>
  <c r="C9" i="14"/>
  <c r="C10" s="1"/>
  <c r="E20" i="20"/>
  <c r="I16" i="8"/>
  <c r="I28" s="1"/>
  <c r="C12"/>
  <c r="C10" s="1"/>
  <c r="C21"/>
  <c r="G31" i="13"/>
  <c r="G34"/>
  <c r="F86" i="14"/>
  <c r="H17"/>
  <c r="J31"/>
  <c r="D36"/>
  <c r="J51"/>
  <c r="J56"/>
  <c r="D15" i="15"/>
  <c r="E23"/>
  <c r="F20" i="20"/>
  <c r="C82" i="23"/>
  <c r="F28" i="24"/>
  <c r="G37"/>
  <c r="G39"/>
  <c r="G45"/>
  <c r="G47"/>
  <c r="F18" i="15"/>
  <c r="F24"/>
  <c r="F44"/>
  <c r="C48" i="23"/>
  <c r="I65"/>
  <c r="J66"/>
  <c r="E9" i="14"/>
  <c r="I40"/>
  <c r="C9" i="15"/>
  <c r="C20" i="13"/>
  <c r="D20" s="1"/>
  <c r="J25" i="14"/>
  <c r="D29"/>
  <c r="F43" i="15"/>
  <c r="F22" i="13"/>
  <c r="F24"/>
  <c r="F45" i="15"/>
  <c r="E12" i="20"/>
  <c r="F12"/>
  <c r="F35" i="24"/>
  <c r="G35"/>
  <c r="F43"/>
  <c r="G43"/>
  <c r="G25" i="13"/>
  <c r="F17" i="14"/>
  <c r="J19"/>
  <c r="J32"/>
  <c r="J39"/>
  <c r="J49"/>
  <c r="J59"/>
  <c r="G43" i="15"/>
  <c r="G45"/>
  <c r="C12" i="13"/>
  <c r="D12" i="14"/>
  <c r="J15"/>
  <c r="F22"/>
  <c r="J24"/>
  <c r="H29"/>
  <c r="J35"/>
  <c r="J43"/>
  <c r="J44"/>
  <c r="J45"/>
  <c r="J48"/>
  <c r="D16" i="23"/>
  <c r="D33"/>
  <c r="J38"/>
  <c r="H31" i="13"/>
  <c r="J20" i="14"/>
  <c r="E19" i="15"/>
  <c r="I19" s="1"/>
  <c r="D86" i="14"/>
  <c r="E32" i="23"/>
  <c r="E47"/>
  <c r="D53"/>
  <c r="C20" i="11" s="1"/>
  <c r="E20" s="1"/>
  <c r="E53" i="23"/>
  <c r="K53" s="1"/>
  <c r="J13" i="14"/>
  <c r="J18"/>
  <c r="J23"/>
  <c r="J27"/>
  <c r="F29"/>
  <c r="J66"/>
  <c r="C19" i="23"/>
  <c r="D31"/>
  <c r="J46"/>
  <c r="F33" i="24"/>
  <c r="G33"/>
  <c r="C29"/>
  <c r="F41"/>
  <c r="G41"/>
  <c r="G10" i="23"/>
  <c r="C56"/>
  <c r="I56" s="1"/>
  <c r="I64"/>
  <c r="D63"/>
  <c r="F38" i="10" l="1"/>
  <c r="C52" i="23"/>
  <c r="I52" s="1"/>
  <c r="F35" i="8"/>
  <c r="E28" i="20"/>
  <c r="F23" i="15"/>
  <c r="I23"/>
  <c r="E37" i="8"/>
  <c r="D10" i="15"/>
  <c r="E20" i="13" s="1"/>
  <c r="D11" i="15"/>
  <c r="E21" i="13"/>
  <c r="D21"/>
  <c r="F34" i="8"/>
  <c r="E34"/>
  <c r="D32"/>
  <c r="F11"/>
  <c r="E11"/>
  <c r="D14" i="10"/>
  <c r="C12"/>
  <c r="C10" s="1"/>
  <c r="E21" i="8"/>
  <c r="F21"/>
  <c r="F37"/>
  <c r="E51" i="23"/>
  <c r="E11" i="34"/>
  <c r="E10" s="1"/>
  <c r="G26" i="8"/>
  <c r="G24" s="1"/>
  <c r="D51" i="23"/>
  <c r="D10" i="34"/>
  <c r="D12" i="11" s="1"/>
  <c r="D13"/>
  <c r="I13" s="1"/>
  <c r="C21"/>
  <c r="E21" s="1"/>
  <c r="E48" i="15"/>
  <c r="D25" i="8"/>
  <c r="G46" i="24"/>
  <c r="F46"/>
  <c r="F37" i="15"/>
  <c r="G37"/>
  <c r="F33"/>
  <c r="G33"/>
  <c r="F38"/>
  <c r="G38"/>
  <c r="H23" i="13"/>
  <c r="J12" i="14"/>
  <c r="D10" i="9"/>
  <c r="G23" i="13"/>
  <c r="G33" i="23"/>
  <c r="F33" s="1"/>
  <c r="E31" i="15" s="1"/>
  <c r="F34" i="23"/>
  <c r="E32" i="15" s="1"/>
  <c r="G63" i="23"/>
  <c r="F67"/>
  <c r="I67" s="1"/>
  <c r="G29"/>
  <c r="J34"/>
  <c r="J35"/>
  <c r="C8" i="14"/>
  <c r="J40"/>
  <c r="E17" i="23"/>
  <c r="J22" i="14"/>
  <c r="C8" i="15"/>
  <c r="E45" i="23"/>
  <c r="C45" s="1"/>
  <c r="I45" s="1"/>
  <c r="J17" i="14"/>
  <c r="E30" i="23"/>
  <c r="D9" i="14"/>
  <c r="D8" s="1"/>
  <c r="C32" i="23"/>
  <c r="I32" s="1"/>
  <c r="C11" i="20"/>
  <c r="C63" i="23"/>
  <c r="E40"/>
  <c r="E43"/>
  <c r="E35"/>
  <c r="E38"/>
  <c r="C47"/>
  <c r="I47" s="1"/>
  <c r="K47"/>
  <c r="E46"/>
  <c r="E37"/>
  <c r="J29" i="14"/>
  <c r="D22" i="8"/>
  <c r="H24" i="13"/>
  <c r="G24"/>
  <c r="F9" i="14"/>
  <c r="C19" i="13"/>
  <c r="C18" s="1"/>
  <c r="J31" i="23"/>
  <c r="E44"/>
  <c r="E36"/>
  <c r="E16"/>
  <c r="C16" s="1"/>
  <c r="I16" s="1"/>
  <c r="E39"/>
  <c r="J16"/>
  <c r="D15"/>
  <c r="D20" i="8"/>
  <c r="H22" i="13"/>
  <c r="G22"/>
  <c r="E10" i="14"/>
  <c r="E8"/>
  <c r="D61" i="23"/>
  <c r="E42"/>
  <c r="E34"/>
  <c r="J53"/>
  <c r="C53"/>
  <c r="I53" s="1"/>
  <c r="E41"/>
  <c r="D29"/>
  <c r="C19" i="8" l="1"/>
  <c r="D9" i="15"/>
  <c r="D19" i="13"/>
  <c r="D13" i="20"/>
  <c r="E13" s="1"/>
  <c r="D12" i="10"/>
  <c r="D10" s="1"/>
  <c r="F22" i="8"/>
  <c r="E22"/>
  <c r="F32"/>
  <c r="E32"/>
  <c r="G18"/>
  <c r="D16" i="9"/>
  <c r="E16" s="1"/>
  <c r="E20" i="8"/>
  <c r="F20"/>
  <c r="C8" i="19"/>
  <c r="C51" i="23"/>
  <c r="D49" i="15" s="1"/>
  <c r="C11" i="34"/>
  <c r="D53" i="15"/>
  <c r="F27" i="13"/>
  <c r="C10" i="34"/>
  <c r="F11" i="9"/>
  <c r="F31" i="15"/>
  <c r="G31"/>
  <c r="F32"/>
  <c r="G32"/>
  <c r="E31" i="23"/>
  <c r="E29" s="1"/>
  <c r="J33"/>
  <c r="G61"/>
  <c r="F63"/>
  <c r="E53" i="15" s="1"/>
  <c r="J63" i="23"/>
  <c r="C17"/>
  <c r="C30"/>
  <c r="D10" i="14"/>
  <c r="C18" i="8"/>
  <c r="E19" i="13"/>
  <c r="C13" i="24"/>
  <c r="C42" i="23"/>
  <c r="D85" i="14"/>
  <c r="C10" i="13" s="1"/>
  <c r="C9"/>
  <c r="K36" i="23"/>
  <c r="C36"/>
  <c r="J51"/>
  <c r="F10" i="14"/>
  <c r="F8"/>
  <c r="C43" i="23"/>
  <c r="K34"/>
  <c r="E33"/>
  <c r="C34"/>
  <c r="I34" s="1"/>
  <c r="D11"/>
  <c r="J15"/>
  <c r="C39"/>
  <c r="I39" s="1"/>
  <c r="K39"/>
  <c r="E15"/>
  <c r="K16"/>
  <c r="C35"/>
  <c r="I35" s="1"/>
  <c r="K35"/>
  <c r="K40"/>
  <c r="C40"/>
  <c r="I40" s="1"/>
  <c r="C41"/>
  <c r="C37"/>
  <c r="C46"/>
  <c r="I46" s="1"/>
  <c r="K38"/>
  <c r="C38"/>
  <c r="I38" s="1"/>
  <c r="D27"/>
  <c r="C18" i="11" s="1"/>
  <c r="E18" s="1"/>
  <c r="J29" i="23"/>
  <c r="C44"/>
  <c r="D11" i="20" l="1"/>
  <c r="F11" s="1"/>
  <c r="C17" i="8"/>
  <c r="G49" i="15"/>
  <c r="F49"/>
  <c r="F48" s="1"/>
  <c r="F13" i="20"/>
  <c r="C30" i="8"/>
  <c r="D30" s="1"/>
  <c r="D9" i="13"/>
  <c r="D10"/>
  <c r="C31" i="23"/>
  <c r="E12" i="10"/>
  <c r="E10" s="1"/>
  <c r="G12" i="8"/>
  <c r="G10" s="1"/>
  <c r="I63" i="23"/>
  <c r="E51" i="15"/>
  <c r="I51" i="23"/>
  <c r="D19" i="9"/>
  <c r="C29" i="23"/>
  <c r="E27"/>
  <c r="E11"/>
  <c r="C11" s="1"/>
  <c r="C15"/>
  <c r="C11" i="13"/>
  <c r="C8"/>
  <c r="C30" s="1"/>
  <c r="K33" i="23"/>
  <c r="C33"/>
  <c r="I33" s="1"/>
  <c r="K51"/>
  <c r="D10"/>
  <c r="D9" s="1"/>
  <c r="J11"/>
  <c r="F85" i="14"/>
  <c r="E10" i="13" s="1"/>
  <c r="E9"/>
  <c r="C9" i="8" s="1"/>
  <c r="C8" s="1"/>
  <c r="G13" i="24"/>
  <c r="C12"/>
  <c r="C11" s="1"/>
  <c r="F13"/>
  <c r="E11" i="20" l="1"/>
  <c r="D11" i="13"/>
  <c r="D8"/>
  <c r="F30" i="8"/>
  <c r="E30"/>
  <c r="J6" i="70"/>
  <c r="D7" i="9"/>
  <c r="D29" s="1"/>
  <c r="F28" i="13"/>
  <c r="F26" s="1"/>
  <c r="E47" i="15"/>
  <c r="C27" i="23"/>
  <c r="E10" i="19"/>
  <c r="E11" i="13"/>
  <c r="E8"/>
  <c r="F12" i="24"/>
  <c r="G12"/>
  <c r="E10" i="23"/>
  <c r="E9" s="1"/>
  <c r="J10"/>
  <c r="C26" i="20"/>
  <c r="C25" i="10" s="1"/>
  <c r="C10" i="19" l="1"/>
  <c r="F10" s="1"/>
  <c r="I6" i="70"/>
  <c r="I20" s="1"/>
  <c r="J20"/>
  <c r="J9"/>
  <c r="M9" s="1"/>
  <c r="J5"/>
  <c r="Q5" s="1"/>
  <c r="M6"/>
  <c r="Q6"/>
  <c r="D12" i="9"/>
  <c r="C7" i="19"/>
  <c r="C9" s="1"/>
  <c r="D54"/>
  <c r="D13"/>
  <c r="C10" i="23"/>
  <c r="C9"/>
  <c r="C9" i="10"/>
  <c r="C8" s="1"/>
  <c r="I5" i="70" l="1"/>
  <c r="I9"/>
  <c r="Q9"/>
  <c r="M5"/>
  <c r="G9" i="8"/>
  <c r="G8" s="1"/>
  <c r="I21" i="70"/>
  <c r="I25"/>
  <c r="I30" s="1"/>
  <c r="I51" s="1"/>
  <c r="C10" i="20"/>
  <c r="G30" i="8" l="1"/>
  <c r="C9" i="20"/>
  <c r="C48" i="19" l="1"/>
  <c r="C18"/>
  <c r="C12" s="1"/>
  <c r="C31" i="8" s="1"/>
  <c r="C63" i="19"/>
  <c r="D31" i="8" l="1"/>
  <c r="C38"/>
  <c r="C29" s="1"/>
  <c r="C61" i="19"/>
  <c r="C59" s="1"/>
  <c r="E18" s="1"/>
  <c r="F18" s="1"/>
  <c r="E22"/>
  <c r="C43"/>
  <c r="F43" s="1"/>
  <c r="F48"/>
  <c r="C13"/>
  <c r="C53"/>
  <c r="E12" s="1"/>
  <c r="E31" i="8" l="1"/>
  <c r="F31"/>
  <c r="D38"/>
  <c r="D29" s="1"/>
  <c r="E20" i="19"/>
  <c r="F20" s="1"/>
  <c r="E63"/>
  <c r="F22"/>
  <c r="C54"/>
  <c r="F12"/>
  <c r="E29" i="8" l="1"/>
  <c r="F29"/>
  <c r="F38"/>
  <c r="G31"/>
  <c r="E38"/>
  <c r="F63" i="19"/>
  <c r="E61"/>
  <c r="E13"/>
  <c r="G38" i="8" l="1"/>
  <c r="H31" s="1"/>
  <c r="F61" i="19"/>
  <c r="E59"/>
  <c r="F59" s="1"/>
  <c r="E55" i="23"/>
  <c r="E54" s="1"/>
  <c r="G29" i="8" l="1"/>
  <c r="H38"/>
  <c r="I31" s="1"/>
  <c r="I38" s="1"/>
  <c r="I29" s="1"/>
  <c r="D55" i="23"/>
  <c r="D54" s="1"/>
  <c r="H29" i="8" l="1"/>
  <c r="C55" i="23"/>
  <c r="C54" s="1"/>
  <c r="D50" i="15" s="1"/>
  <c r="D48" s="1"/>
  <c r="C12" i="11"/>
  <c r="C13" s="1"/>
  <c r="E13" s="1"/>
  <c r="C15"/>
  <c r="E15" s="1"/>
  <c r="J55" i="23"/>
  <c r="D50"/>
  <c r="J54"/>
  <c r="I55" l="1"/>
  <c r="D27" i="13"/>
  <c r="E27"/>
  <c r="G48" i="15"/>
  <c r="E12" i="11"/>
  <c r="J50" i="23"/>
  <c r="D49"/>
  <c r="C56" i="24" s="1"/>
  <c r="C57" s="1"/>
  <c r="C25" i="8" l="1"/>
  <c r="H27" i="13"/>
  <c r="G27"/>
  <c r="C18" i="20"/>
  <c r="C17" i="10"/>
  <c r="K54" i="23"/>
  <c r="E50"/>
  <c r="C50"/>
  <c r="D8"/>
  <c r="C11" i="11" s="1"/>
  <c r="E25" i="8" l="1"/>
  <c r="F25"/>
  <c r="I54" i="23"/>
  <c r="K50"/>
  <c r="I50"/>
  <c r="F8" i="11" l="1"/>
  <c r="F7" s="1"/>
  <c r="G10" i="24" l="1"/>
  <c r="F10"/>
  <c r="C9"/>
  <c r="H10" i="42" l="1"/>
  <c r="AP11" i="22" l="1"/>
  <c r="AP17"/>
  <c r="AG17" s="1"/>
  <c r="AP18"/>
  <c r="AG18" s="1"/>
  <c r="AP16"/>
  <c r="AG16" s="1"/>
  <c r="AP15"/>
  <c r="AG15" s="1"/>
  <c r="AP12"/>
  <c r="AG12" s="1"/>
  <c r="AX18" l="1"/>
  <c r="AZ18" s="1"/>
  <c r="AE18"/>
  <c r="AX12"/>
  <c r="AX15"/>
  <c r="AZ15" s="1"/>
  <c r="AE15"/>
  <c r="AX11"/>
  <c r="AZ11" s="1"/>
  <c r="AX16"/>
  <c r="AZ16" s="1"/>
  <c r="AE16"/>
  <c r="AX17"/>
  <c r="AZ17" s="1"/>
  <c r="AE17"/>
  <c r="AP10"/>
  <c r="AG10" s="1"/>
  <c r="AF16" l="1"/>
  <c r="AV16" s="1"/>
  <c r="AU16"/>
  <c r="AF15"/>
  <c r="AV15" s="1"/>
  <c r="AU15"/>
  <c r="AX10"/>
  <c r="AZ10" s="1"/>
  <c r="AE10"/>
  <c r="AU17"/>
  <c r="AF17"/>
  <c r="AV17" s="1"/>
  <c r="AF18"/>
  <c r="AV18" s="1"/>
  <c r="AU18"/>
  <c r="AP13"/>
  <c r="AG13" s="1"/>
  <c r="AP21"/>
  <c r="AG21" s="1"/>
  <c r="AP23"/>
  <c r="AG23" s="1"/>
  <c r="AP20"/>
  <c r="AG20" s="1"/>
  <c r="AP19"/>
  <c r="AG19" s="1"/>
  <c r="AX13" l="1"/>
  <c r="AX19"/>
  <c r="AE19"/>
  <c r="AX23"/>
  <c r="AZ23" s="1"/>
  <c r="AE23"/>
  <c r="AU10"/>
  <c r="AF10"/>
  <c r="AV10" s="1"/>
  <c r="AX20"/>
  <c r="AZ20" s="1"/>
  <c r="AE20"/>
  <c r="AX21"/>
  <c r="AZ21" s="1"/>
  <c r="AE21"/>
  <c r="AF21" l="1"/>
  <c r="AV21" s="1"/>
  <c r="AU21"/>
  <c r="AF19"/>
  <c r="AV19" s="1"/>
  <c r="AU19"/>
  <c r="AF20"/>
  <c r="AV20" s="1"/>
  <c r="AU20"/>
  <c r="AU23"/>
  <c r="AF23"/>
  <c r="AV23" s="1"/>
  <c r="AP22"/>
  <c r="AG22" s="1"/>
  <c r="AX22" l="1"/>
  <c r="AZ22" s="1"/>
  <c r="AE22" l="1"/>
  <c r="AF22" l="1"/>
  <c r="AU22"/>
  <c r="AV22" l="1"/>
  <c r="J11" l="1"/>
  <c r="J8" l="1"/>
  <c r="J57"/>
  <c r="D11"/>
  <c r="AO11"/>
  <c r="AG11" s="1"/>
  <c r="AO8" l="1"/>
  <c r="C11"/>
  <c r="BA11" s="1"/>
  <c r="C12" i="32"/>
  <c r="G13" i="21"/>
  <c r="AO57" i="22"/>
  <c r="D57"/>
  <c r="J54"/>
  <c r="K13" i="21" l="1"/>
  <c r="J13"/>
  <c r="C57" i="22"/>
  <c r="F12" i="32"/>
  <c r="K12"/>
  <c r="AO54" i="22"/>
  <c r="AG57"/>
  <c r="AG54" s="1"/>
  <c r="AE11"/>
  <c r="AE57" l="1"/>
  <c r="AF57" s="1"/>
  <c r="AF11"/>
  <c r="AU11"/>
  <c r="N12" i="32"/>
  <c r="N13" i="21"/>
  <c r="AV11" i="22" l="1"/>
  <c r="K6" i="70" l="1"/>
  <c r="K9" l="1"/>
  <c r="K5"/>
  <c r="L6"/>
  <c r="L5" l="1"/>
  <c r="L9"/>
  <c r="T12" i="33" l="1"/>
  <c r="AY12" i="22" l="1"/>
  <c r="AZ12" s="1"/>
  <c r="T52" i="33"/>
  <c r="D12"/>
  <c r="D52" l="1"/>
  <c r="G13" i="32"/>
  <c r="C12" i="33"/>
  <c r="AO12"/>
  <c r="AG12" s="1"/>
  <c r="J13" i="32" l="1"/>
  <c r="C52" i="33"/>
  <c r="AE12"/>
  <c r="AF12" l="1"/>
  <c r="L12" i="22" l="1"/>
  <c r="L58" l="1"/>
  <c r="D12"/>
  <c r="D58" l="1"/>
  <c r="C12"/>
  <c r="G14" i="21"/>
  <c r="C13" i="32"/>
  <c r="AE12" i="22" l="1"/>
  <c r="AU12" s="1"/>
  <c r="BA12"/>
  <c r="F13" i="32"/>
  <c r="K13"/>
  <c r="J14" i="21"/>
  <c r="K14"/>
  <c r="C58" i="22"/>
  <c r="AE58" s="1"/>
  <c r="AF12" l="1"/>
  <c r="AV12" s="1"/>
  <c r="N13" i="32"/>
  <c r="N14" i="21"/>
  <c r="AF58" i="22"/>
  <c r="L20" i="70" l="1"/>
  <c r="K20" s="1"/>
  <c r="L25" l="1"/>
  <c r="L21"/>
  <c r="E25" i="10"/>
  <c r="L30" i="70" l="1"/>
  <c r="E9" i="10" l="1"/>
  <c r="E8" s="1"/>
  <c r="T19" i="33"/>
  <c r="AY19" i="22" l="1"/>
  <c r="AZ19" s="1"/>
  <c r="T54" i="33"/>
  <c r="D19"/>
  <c r="AO19" l="1"/>
  <c r="D54"/>
  <c r="C19"/>
  <c r="G20" i="32"/>
  <c r="C54" i="33" l="1"/>
  <c r="J20" i="32"/>
  <c r="K20"/>
  <c r="AG19" i="33"/>
  <c r="N20" i="32" l="1"/>
  <c r="AE19" i="33"/>
  <c r="AF19" l="1"/>
  <c r="T13" l="1"/>
  <c r="T58" l="1"/>
  <c r="AY13" i="22"/>
  <c r="AZ13" s="1"/>
  <c r="D13" i="33"/>
  <c r="T8"/>
  <c r="D58" l="1"/>
  <c r="G14" i="32"/>
  <c r="J14" s="1"/>
  <c r="C13" i="33"/>
  <c r="AO13"/>
  <c r="AG13" l="1"/>
  <c r="AG8" s="1"/>
  <c r="AO8"/>
  <c r="C58"/>
  <c r="AE13" l="1"/>
  <c r="AF13" l="1"/>
  <c r="L13" i="22"/>
  <c r="L59" l="1"/>
  <c r="D13"/>
  <c r="L8"/>
  <c r="C13" l="1"/>
  <c r="G15" i="21"/>
  <c r="C14" i="32"/>
  <c r="D59" i="22"/>
  <c r="L54"/>
  <c r="AE13" l="1"/>
  <c r="AU13" s="1"/>
  <c r="BA13"/>
  <c r="J15" i="21"/>
  <c r="K15"/>
  <c r="C59" i="22"/>
  <c r="AE59" s="1"/>
  <c r="K14" i="32"/>
  <c r="F14"/>
  <c r="AF13" i="22" l="1"/>
  <c r="AV13" s="1"/>
  <c r="AF59"/>
  <c r="N14" i="32"/>
  <c r="N15" i="21"/>
  <c r="L9" i="33" l="1"/>
  <c r="L51" l="1"/>
  <c r="D9"/>
  <c r="AX9" s="1"/>
  <c r="L8"/>
  <c r="D51" l="1"/>
  <c r="G10" i="32"/>
  <c r="C9" i="33"/>
  <c r="AE9" s="1"/>
  <c r="D8"/>
  <c r="C8" s="1"/>
  <c r="C51" l="1"/>
  <c r="J10" i="32"/>
  <c r="K10"/>
  <c r="AF9" i="33" l="1"/>
  <c r="AF8" s="1"/>
  <c r="AE8"/>
  <c r="N10" i="32"/>
  <c r="J9"/>
  <c r="G9"/>
  <c r="L10" i="42" l="1"/>
  <c r="I37" i="14" l="1"/>
  <c r="G36"/>
  <c r="I36" s="1"/>
  <c r="H37"/>
  <c r="H86" s="1"/>
  <c r="G9" l="1"/>
  <c r="C19" i="9"/>
  <c r="E19" s="1"/>
  <c r="E10" s="1"/>
  <c r="E7" s="1"/>
  <c r="H36" i="14"/>
  <c r="J37"/>
  <c r="D9" i="11" l="1"/>
  <c r="E19" i="10"/>
  <c r="G8" i="14"/>
  <c r="I8" s="1"/>
  <c r="C10" i="9"/>
  <c r="G10" i="14"/>
  <c r="I10" s="1"/>
  <c r="I9"/>
  <c r="J36"/>
  <c r="H9"/>
  <c r="E27" i="10" l="1"/>
  <c r="E26" s="1"/>
  <c r="E24" s="1"/>
  <c r="E18"/>
  <c r="D8" i="11"/>
  <c r="E9"/>
  <c r="C11" i="9"/>
  <c r="D11"/>
  <c r="C7"/>
  <c r="C29" s="1"/>
  <c r="J9" i="14"/>
  <c r="H8"/>
  <c r="H10"/>
  <c r="J10" s="1"/>
  <c r="C12" i="9" l="1"/>
  <c r="H85" i="14"/>
  <c r="F10" i="13" s="1"/>
  <c r="J8" i="14"/>
  <c r="F9" i="13"/>
  <c r="H10" l="1"/>
  <c r="G10"/>
  <c r="H9"/>
  <c r="G9"/>
  <c r="F11"/>
  <c r="H11" l="1"/>
  <c r="G11"/>
  <c r="D9" i="8"/>
  <c r="F9" l="1"/>
  <c r="E9"/>
  <c r="F7" i="19" l="1"/>
  <c r="Y29" i="23" l="1"/>
  <c r="V15" i="28" s="1"/>
  <c r="AF15" s="1"/>
  <c r="AB41" i="23"/>
  <c r="H41" l="1"/>
  <c r="AC41" s="1"/>
  <c r="Y27"/>
  <c r="K41" l="1"/>
  <c r="F41"/>
  <c r="E39" i="15" s="1"/>
  <c r="Y9" i="23"/>
  <c r="Y8" s="1"/>
  <c r="U15" i="28"/>
  <c r="F39" i="15" l="1"/>
  <c r="G39"/>
  <c r="I41" i="23"/>
  <c r="M15" i="28"/>
  <c r="X15" s="1"/>
  <c r="AE15"/>
  <c r="R27" i="23"/>
  <c r="R9" l="1"/>
  <c r="U22" i="28"/>
  <c r="AE22" l="1"/>
  <c r="M22"/>
  <c r="X22" s="1"/>
  <c r="R8" i="23"/>
  <c r="AB37" l="1"/>
  <c r="AB43"/>
  <c r="H43" s="1"/>
  <c r="H37" l="1"/>
  <c r="AC37" s="1"/>
  <c r="AC43"/>
  <c r="O29"/>
  <c r="F43" l="1"/>
  <c r="I43" s="1"/>
  <c r="F37"/>
  <c r="E35" i="15" s="1"/>
  <c r="K43" i="23"/>
  <c r="K37"/>
  <c r="O27"/>
  <c r="V11" i="28"/>
  <c r="F35" i="15" l="1"/>
  <c r="G35"/>
  <c r="E41"/>
  <c r="I37" i="23"/>
  <c r="AF11" i="28"/>
  <c r="U11"/>
  <c r="F41" i="15" l="1"/>
  <c r="G41"/>
  <c r="AE11" i="28"/>
  <c r="AB44" i="23" l="1"/>
  <c r="H44" l="1"/>
  <c r="AC44" s="1"/>
  <c r="K44" l="1"/>
  <c r="F44"/>
  <c r="E42" i="15" s="1"/>
  <c r="F42" l="1"/>
  <c r="G42"/>
  <c r="I44" i="23"/>
  <c r="T14" i="22" l="1"/>
  <c r="T60" l="1"/>
  <c r="T8"/>
  <c r="D14"/>
  <c r="H20" i="70" l="1"/>
  <c r="G16" i="21"/>
  <c r="C15" i="32"/>
  <c r="C14" i="22"/>
  <c r="BA14" s="1"/>
  <c r="BA8" s="1"/>
  <c r="D8"/>
  <c r="C8" s="1"/>
  <c r="AP14"/>
  <c r="AG14" s="1"/>
  <c r="T54"/>
  <c r="D60"/>
  <c r="G20" i="70" l="1"/>
  <c r="H21"/>
  <c r="H25"/>
  <c r="H30" s="1"/>
  <c r="H51" s="1"/>
  <c r="J16" i="21"/>
  <c r="K16"/>
  <c r="G10"/>
  <c r="F15" i="32"/>
  <c r="K15"/>
  <c r="C9"/>
  <c r="AP8" i="22"/>
  <c r="AX14"/>
  <c r="AZ14" s="1"/>
  <c r="C60"/>
  <c r="AE60" s="1"/>
  <c r="D54"/>
  <c r="C54" s="1"/>
  <c r="G21" i="70" l="1"/>
  <c r="G25"/>
  <c r="G30" s="1"/>
  <c r="G51" s="1"/>
  <c r="F20"/>
  <c r="AE14" i="22"/>
  <c r="AG8"/>
  <c r="N16" i="21"/>
  <c r="J10"/>
  <c r="K10"/>
  <c r="G27"/>
  <c r="K27" s="1"/>
  <c r="N15" i="32"/>
  <c r="F9"/>
  <c r="AF60" i="22"/>
  <c r="AF54" s="1"/>
  <c r="AE54"/>
  <c r="K9" i="32"/>
  <c r="T42" i="23"/>
  <c r="T27" s="1"/>
  <c r="D25" i="10" l="1"/>
  <c r="D24" s="1"/>
  <c r="F21" i="70"/>
  <c r="F25"/>
  <c r="F30" s="1"/>
  <c r="F51" s="1"/>
  <c r="T9" i="23"/>
  <c r="U16" i="28"/>
  <c r="N9" i="32"/>
  <c r="AU14" i="22"/>
  <c r="AU8" s="1"/>
  <c r="AF14"/>
  <c r="AE8"/>
  <c r="J27" i="21"/>
  <c r="N27" s="1"/>
  <c r="N10"/>
  <c r="D9" i="10" l="1"/>
  <c r="D8" s="1"/>
  <c r="D10" i="20"/>
  <c r="D26"/>
  <c r="AE16" i="28"/>
  <c r="M16"/>
  <c r="X16" s="1"/>
  <c r="AV14" i="22"/>
  <c r="AV8" s="1"/>
  <c r="AF8"/>
  <c r="D9" i="20" l="1"/>
  <c r="E10"/>
  <c r="F10"/>
  <c r="D25"/>
  <c r="E26"/>
  <c r="F26"/>
  <c r="T83" i="23"/>
  <c r="T8" s="1"/>
  <c r="E9" i="20" l="1"/>
  <c r="F9"/>
  <c r="N42" i="23"/>
  <c r="N27" s="1"/>
  <c r="N9" l="1"/>
  <c r="U20" i="28"/>
  <c r="N83" i="23"/>
  <c r="M20" i="28" l="1"/>
  <c r="X20" s="1"/>
  <c r="AE20"/>
  <c r="N8" i="23"/>
  <c r="S42"/>
  <c r="S27" s="1"/>
  <c r="U19" i="28" s="1"/>
  <c r="AE19" s="1"/>
  <c r="S17" i="23" l="1"/>
  <c r="S19" i="28" s="1"/>
  <c r="N19" s="1"/>
  <c r="AD19" l="1"/>
  <c r="S15" i="23"/>
  <c r="S11" s="1"/>
  <c r="S10" s="1"/>
  <c r="S9" s="1"/>
  <c r="M19" i="28" l="1"/>
  <c r="X19" s="1"/>
  <c r="Y19"/>
  <c r="S83" i="23" l="1"/>
  <c r="S8" l="1"/>
  <c r="M42" l="1"/>
  <c r="M27" l="1"/>
  <c r="AB42"/>
  <c r="H42" s="1"/>
  <c r="AC42" l="1"/>
  <c r="M9"/>
  <c r="U13" i="28"/>
  <c r="F42" i="23" l="1"/>
  <c r="I42" s="1"/>
  <c r="K42"/>
  <c r="M13" i="28"/>
  <c r="AE13"/>
  <c r="E40" i="15" l="1"/>
  <c r="X13" i="28"/>
  <c r="M83" i="23"/>
  <c r="F40" i="15" l="1"/>
  <c r="G40"/>
  <c r="M8" i="23"/>
  <c r="P29" l="1"/>
  <c r="AB31"/>
  <c r="H31" l="1"/>
  <c r="AC31" s="1"/>
  <c r="P27"/>
  <c r="V14" i="28"/>
  <c r="F31" i="23" l="1"/>
  <c r="I31" s="1"/>
  <c r="K31"/>
  <c r="AF14" i="28"/>
  <c r="P9" i="23"/>
  <c r="P8" s="1"/>
  <c r="U14" i="28"/>
  <c r="E29" i="15" l="1"/>
  <c r="AE14" i="28"/>
  <c r="M14"/>
  <c r="F29" i="15" l="1"/>
  <c r="G29"/>
  <c r="X14" i="28"/>
  <c r="J61" i="23" l="1"/>
  <c r="G49"/>
  <c r="J49" l="1"/>
  <c r="H49" l="1"/>
  <c r="F61"/>
  <c r="F49" s="1"/>
  <c r="AC49" l="1"/>
  <c r="D14" i="69"/>
  <c r="F14"/>
  <c r="F17" s="1"/>
  <c r="D26" i="8" l="1"/>
  <c r="N36" i="24"/>
  <c r="F22" i="69"/>
  <c r="H22" s="1"/>
  <c r="H17"/>
  <c r="AA29" i="23"/>
  <c r="D24" i="8" l="1"/>
  <c r="N29" i="24"/>
  <c r="V23" i="28"/>
  <c r="AF23" s="1"/>
  <c r="AA27" i="23"/>
  <c r="R29" i="24" l="1"/>
  <c r="E36"/>
  <c r="U23" i="28"/>
  <c r="AA9" i="23"/>
  <c r="E29" i="24" l="1"/>
  <c r="E11" s="1"/>
  <c r="G36" i="23"/>
  <c r="F36" i="24"/>
  <c r="G36"/>
  <c r="M23" i="28"/>
  <c r="X23" s="1"/>
  <c r="AE23"/>
  <c r="K23" i="42" l="1"/>
  <c r="J36" i="23"/>
  <c r="F36"/>
  <c r="G27"/>
  <c r="G9" s="1"/>
  <c r="G29" i="24"/>
  <c r="F29"/>
  <c r="AA8" i="23"/>
  <c r="E9" i="24" l="1"/>
  <c r="G11"/>
  <c r="F11"/>
  <c r="E34" i="15"/>
  <c r="I36" i="23"/>
  <c r="J27"/>
  <c r="Z29"/>
  <c r="D18" i="20" l="1"/>
  <c r="D17" s="1"/>
  <c r="D23" s="1"/>
  <c r="D17" i="10"/>
  <c r="F34" i="15"/>
  <c r="G34"/>
  <c r="J9" i="23"/>
  <c r="G8"/>
  <c r="J8" s="1"/>
  <c r="F9" i="24"/>
  <c r="G9"/>
  <c r="V18" i="28"/>
  <c r="AF18" s="1"/>
  <c r="Z27" i="23"/>
  <c r="D16" i="10" l="1"/>
  <c r="D22" s="1"/>
  <c r="F18" i="20"/>
  <c r="E18"/>
  <c r="U18" i="28"/>
  <c r="Z9" i="23"/>
  <c r="M18" i="28" l="1"/>
  <c r="X18" s="1"/>
  <c r="AE18"/>
  <c r="K18" i="42" l="1"/>
  <c r="Z8" i="23" l="1"/>
  <c r="Q29" l="1"/>
  <c r="AB30"/>
  <c r="H30" l="1"/>
  <c r="AC30" s="1"/>
  <c r="V17" i="28"/>
  <c r="Q27" i="23"/>
  <c r="AB29"/>
  <c r="H29" l="1"/>
  <c r="K29" s="1"/>
  <c r="AB27"/>
  <c r="K30"/>
  <c r="F30"/>
  <c r="E28" i="15" s="1"/>
  <c r="Q9" i="23"/>
  <c r="U17" i="28"/>
  <c r="AF17"/>
  <c r="V10"/>
  <c r="AF10" s="1"/>
  <c r="F28" i="15" l="1"/>
  <c r="G28"/>
  <c r="H27" i="23"/>
  <c r="K27" s="1"/>
  <c r="AC29"/>
  <c r="F29"/>
  <c r="I29" s="1"/>
  <c r="I30"/>
  <c r="M17" i="28"/>
  <c r="AE17"/>
  <c r="U10"/>
  <c r="AE10" s="1"/>
  <c r="AC27" i="23" l="1"/>
  <c r="F27"/>
  <c r="I27" s="1"/>
  <c r="E27" i="15"/>
  <c r="X17" i="28"/>
  <c r="E25" i="15" l="1"/>
  <c r="F21" i="13" s="1"/>
  <c r="G27" i="15"/>
  <c r="F27"/>
  <c r="F25" s="1"/>
  <c r="G25" l="1"/>
  <c r="D19" i="8"/>
  <c r="G21" i="13"/>
  <c r="H21"/>
  <c r="E27" i="34" l="1"/>
  <c r="E19" i="8"/>
  <c r="F19"/>
  <c r="D27" i="34" l="1"/>
  <c r="D22" i="11" s="1"/>
  <c r="D9" i="34" l="1"/>
  <c r="D8" s="1"/>
  <c r="D11" i="11" s="1"/>
  <c r="E11" s="1"/>
  <c r="C27" i="34"/>
  <c r="D7" i="11" l="1"/>
  <c r="G23" i="8"/>
  <c r="E22" i="34"/>
  <c r="C22" s="1"/>
  <c r="E17" i="10" l="1"/>
  <c r="E16" s="1"/>
  <c r="E22" s="1"/>
  <c r="K17" i="42"/>
  <c r="Q8" i="23" l="1"/>
  <c r="S11" i="28" l="1"/>
  <c r="N11" s="1"/>
  <c r="O15" i="23"/>
  <c r="O11" s="1"/>
  <c r="O10" s="1"/>
  <c r="O9" s="1"/>
  <c r="AB17"/>
  <c r="AD11" i="28" l="1"/>
  <c r="S10"/>
  <c r="AD10" s="1"/>
  <c r="AB15" i="23"/>
  <c r="H17"/>
  <c r="AC17" s="1"/>
  <c r="AB11" l="1"/>
  <c r="F17"/>
  <c r="K17"/>
  <c r="H15"/>
  <c r="AC15" s="1"/>
  <c r="Y11" i="28"/>
  <c r="M11"/>
  <c r="N10"/>
  <c r="Y10" s="1"/>
  <c r="AB10" i="23" l="1"/>
  <c r="K15"/>
  <c r="H11"/>
  <c r="AC11" s="1"/>
  <c r="X11" i="28"/>
  <c r="M10"/>
  <c r="X10" s="1"/>
  <c r="E17" i="15"/>
  <c r="I17" s="1"/>
  <c r="F15" i="23"/>
  <c r="I17"/>
  <c r="AB9" l="1"/>
  <c r="G17" i="15"/>
  <c r="E15"/>
  <c r="I15" s="1"/>
  <c r="F17"/>
  <c r="F15" s="1"/>
  <c r="O8" i="23"/>
  <c r="AB83"/>
  <c r="F11"/>
  <c r="I15"/>
  <c r="K11"/>
  <c r="H10"/>
  <c r="H9" s="1"/>
  <c r="AC10" l="1"/>
  <c r="AC9"/>
  <c r="F10"/>
  <c r="F9" s="1"/>
  <c r="I11"/>
  <c r="F20" i="13"/>
  <c r="G15" i="15"/>
  <c r="E11"/>
  <c r="I11" s="1"/>
  <c r="E10"/>
  <c r="I10" s="1"/>
  <c r="K10" i="23"/>
  <c r="H83"/>
  <c r="AB8"/>
  <c r="AC83" l="1"/>
  <c r="D37" i="20"/>
  <c r="E37" s="1"/>
  <c r="K9" i="23"/>
  <c r="H8"/>
  <c r="D32" i="20" s="1"/>
  <c r="D38" s="1"/>
  <c r="I10" i="23"/>
  <c r="G20" i="13"/>
  <c r="H20"/>
  <c r="F19"/>
  <c r="F83" i="23"/>
  <c r="E68" i="15" s="1"/>
  <c r="F68" s="1"/>
  <c r="F10"/>
  <c r="G10"/>
  <c r="E9"/>
  <c r="I9" s="1"/>
  <c r="F11"/>
  <c r="D18" i="8" l="1"/>
  <c r="D33" i="20"/>
  <c r="D36" i="10"/>
  <c r="AC8" i="23"/>
  <c r="G19" i="13"/>
  <c r="H19"/>
  <c r="I9" i="23"/>
  <c r="F8"/>
  <c r="G9" i="15"/>
  <c r="E8"/>
  <c r="I8" s="1"/>
  <c r="F9"/>
  <c r="F29" i="13" l="1"/>
  <c r="G29" s="1"/>
  <c r="D27" i="8"/>
  <c r="E27" s="1"/>
  <c r="E18"/>
  <c r="F18"/>
  <c r="D17"/>
  <c r="F18" i="13" l="1"/>
  <c r="D31" i="10"/>
  <c r="E17" i="8"/>
  <c r="F17"/>
  <c r="D16"/>
  <c r="D32" i="10" l="1"/>
  <c r="K9" s="1"/>
  <c r="K11" s="1"/>
  <c r="D38"/>
  <c r="K24" i="42" l="1"/>
  <c r="G19" i="8" l="1"/>
  <c r="G17" s="1"/>
  <c r="E20" i="34"/>
  <c r="G16" i="8" l="1"/>
  <c r="G28" s="1"/>
  <c r="M18"/>
  <c r="E9" i="34"/>
  <c r="C20"/>
  <c r="E31" i="10" l="1"/>
  <c r="E38" s="1"/>
  <c r="E8" i="34"/>
  <c r="C8" s="1"/>
  <c r="C9"/>
  <c r="H9" s="1"/>
  <c r="F9" i="19" l="1"/>
  <c r="F8"/>
  <c r="D23" i="42" l="1"/>
  <c r="C23" l="1"/>
  <c r="D18"/>
  <c r="D12"/>
  <c r="C12" l="1"/>
  <c r="C18"/>
  <c r="D16"/>
  <c r="D20"/>
  <c r="C20" l="1"/>
  <c r="C16"/>
  <c r="D19"/>
  <c r="D13"/>
  <c r="D14"/>
  <c r="D22"/>
  <c r="D17"/>
  <c r="C14" l="1"/>
  <c r="C13"/>
  <c r="C17"/>
  <c r="C19"/>
  <c r="C22"/>
  <c r="D15"/>
  <c r="C15" l="1"/>
  <c r="D24"/>
  <c r="C24" l="1"/>
  <c r="D25"/>
  <c r="C25" l="1"/>
  <c r="D11"/>
  <c r="C11" l="1"/>
  <c r="J10" l="1"/>
  <c r="E10" l="1"/>
  <c r="O10" l="1"/>
  <c r="P10" l="1"/>
  <c r="K10" l="1"/>
  <c r="D21"/>
  <c r="C21" l="1"/>
  <c r="D10"/>
  <c r="C10" l="1"/>
  <c r="F37" i="19" l="1"/>
  <c r="F38"/>
  <c r="E34"/>
  <c r="E42" s="1"/>
  <c r="F42" l="1"/>
  <c r="E40"/>
  <c r="F34"/>
  <c r="E66"/>
  <c r="E39" l="1"/>
  <c r="F40"/>
  <c r="F39" l="1"/>
  <c r="E53"/>
  <c r="F53" s="1"/>
  <c r="E54" l="1"/>
  <c r="F54" s="1"/>
  <c r="N33" i="70"/>
  <c r="U33" s="1"/>
  <c r="P32"/>
  <c r="P31"/>
  <c r="P50" s="1"/>
  <c r="P51" s="1"/>
  <c r="N32" l="1"/>
  <c r="U32" s="1"/>
  <c r="O1" l="1"/>
  <c r="N31"/>
  <c r="Q31" s="1"/>
  <c r="N50"/>
  <c r="U50" s="1"/>
  <c r="Q32"/>
  <c r="U31"/>
  <c r="N51" l="1"/>
  <c r="E32" i="10" l="1"/>
  <c r="M20" i="70" l="1"/>
  <c r="Q20"/>
  <c r="J21"/>
  <c r="M21" s="1"/>
  <c r="K25"/>
  <c r="J25"/>
  <c r="M25" s="1"/>
  <c r="K30" l="1"/>
  <c r="K51" s="1"/>
  <c r="Q25"/>
  <c r="J30"/>
  <c r="Q30" s="1"/>
  <c r="Q21"/>
  <c r="K21"/>
  <c r="L50"/>
  <c r="L51" s="1"/>
  <c r="J46"/>
  <c r="M46" s="1"/>
  <c r="M30" l="1"/>
  <c r="Q46"/>
  <c r="J50"/>
  <c r="Q50" l="1"/>
  <c r="J51"/>
  <c r="M50"/>
  <c r="C62" i="23"/>
  <c r="D52" i="15" s="1"/>
  <c r="E61" i="23"/>
  <c r="C61" s="1"/>
  <c r="F52" i="15" l="1"/>
  <c r="D51"/>
  <c r="G52"/>
  <c r="C49" i="23"/>
  <c r="I61"/>
  <c r="I62"/>
  <c r="E49"/>
  <c r="K49" l="1"/>
  <c r="E8"/>
  <c r="G51" i="15"/>
  <c r="E28" i="13"/>
  <c r="E26" s="1"/>
  <c r="D47" i="15"/>
  <c r="F51"/>
  <c r="F47" s="1"/>
  <c r="D28" i="13"/>
  <c r="I49" i="23"/>
  <c r="D26" i="13" l="1"/>
  <c r="D18" s="1"/>
  <c r="D30" s="1"/>
  <c r="H14"/>
  <c r="F12"/>
  <c r="G14"/>
  <c r="H28"/>
  <c r="C26" i="8"/>
  <c r="G28" i="13"/>
  <c r="K8" i="23"/>
  <c r="C8"/>
  <c r="I8" s="1"/>
  <c r="D8" i="15"/>
  <c r="G47"/>
  <c r="D12" i="8" l="1"/>
  <c r="G12" i="13"/>
  <c r="F8"/>
  <c r="H12"/>
  <c r="E26" i="8"/>
  <c r="C24"/>
  <c r="F26"/>
  <c r="H26" i="13"/>
  <c r="G26"/>
  <c r="E18"/>
  <c r="G8" i="15"/>
  <c r="F8"/>
  <c r="E24" i="8" l="1"/>
  <c r="C16"/>
  <c r="F24"/>
  <c r="E12"/>
  <c r="F12"/>
  <c r="D10"/>
  <c r="E30" i="13"/>
  <c r="H30" s="1"/>
  <c r="H18"/>
  <c r="G18"/>
  <c r="C32" i="20"/>
  <c r="G8" i="13"/>
  <c r="H8"/>
  <c r="D8" i="8" l="1"/>
  <c r="E10"/>
  <c r="F10"/>
  <c r="F16"/>
  <c r="E16"/>
  <c r="C28"/>
  <c r="C21" i="20"/>
  <c r="E32"/>
  <c r="C31" i="10"/>
  <c r="C32" s="1"/>
  <c r="C33" i="20"/>
  <c r="F32"/>
  <c r="C20" i="10" l="1"/>
  <c r="F8" i="8"/>
  <c r="E8"/>
  <c r="E33" i="20"/>
  <c r="F33"/>
  <c r="E21"/>
  <c r="C19"/>
  <c r="F21"/>
  <c r="C29"/>
  <c r="C10" i="11"/>
  <c r="E28" i="8"/>
  <c r="F28"/>
  <c r="C18" i="10" l="1"/>
  <c r="C16" s="1"/>
  <c r="C22" s="1"/>
  <c r="C28"/>
  <c r="C26" s="1"/>
  <c r="C24" s="1"/>
  <c r="C38" s="1"/>
  <c r="E19" i="20"/>
  <c r="C17"/>
  <c r="F19"/>
  <c r="C8" i="11"/>
  <c r="E10"/>
  <c r="F29" i="20"/>
  <c r="E29"/>
  <c r="C27"/>
  <c r="C25" l="1"/>
  <c r="F27"/>
  <c r="E27"/>
  <c r="E8" i="11"/>
  <c r="C7"/>
  <c r="E7" s="1"/>
  <c r="F17" i="20"/>
  <c r="C23"/>
  <c r="E17"/>
  <c r="E25" l="1"/>
  <c r="F25"/>
  <c r="E23"/>
  <c r="F23"/>
</calcChain>
</file>

<file path=xl/comments1.xml><?xml version="1.0" encoding="utf-8"?>
<comments xmlns="http://schemas.openxmlformats.org/spreadsheetml/2006/main">
  <authors>
    <author>DoThiHongHanh</author>
  </authors>
  <commentList>
    <comment ref="P44" authorId="0">
      <text>
        <r>
          <rPr>
            <b/>
            <sz val="9"/>
            <color indexed="81"/>
            <rFont val="Tahoma"/>
            <family val="2"/>
          </rPr>
          <t>DoThiHongHanh:</t>
        </r>
        <r>
          <rPr>
            <sz val="9"/>
            <color indexed="81"/>
            <rFont val="Tahoma"/>
            <family val="2"/>
          </rPr>
          <t xml:space="preserve">
HOÀN THUẾ CẤP Tỉnh 9 tháng: 32,845
Toàn tỉnh 39,609</t>
        </r>
      </text>
    </comment>
  </commentList>
</comments>
</file>

<file path=xl/comments2.xml><?xml version="1.0" encoding="utf-8"?>
<comments xmlns="http://schemas.openxmlformats.org/spreadsheetml/2006/main">
  <authors>
    <author>DoThiHongHanh</author>
  </authors>
  <commentList>
    <comment ref="M15" authorId="0">
      <text>
        <r>
          <rPr>
            <b/>
            <sz val="9"/>
            <color indexed="81"/>
            <rFont val="Tahoma"/>
            <family val="2"/>
          </rPr>
          <t>DoThiHongHanh:</t>
        </r>
        <r>
          <rPr>
            <sz val="9"/>
            <color indexed="81"/>
            <rFont val="Tahoma"/>
            <family val="2"/>
          </rPr>
          <t xml:space="preserve">
bao gồm Kp lúa nước và thủy lợi phí</t>
        </r>
      </text>
    </comment>
    <comment ref="M23" authorId="0">
      <text>
        <r>
          <rPr>
            <b/>
            <sz val="9"/>
            <color indexed="81"/>
            <rFont val="Tahoma"/>
            <family val="2"/>
          </rPr>
          <t>DoThiHongHanh:</t>
        </r>
        <r>
          <rPr>
            <sz val="9"/>
            <color indexed="81"/>
            <rFont val="Tahoma"/>
            <family val="2"/>
          </rPr>
          <t xml:space="preserve">
Kp xúc tiến đầu tư</t>
        </r>
      </text>
    </comment>
    <comment ref="M30" authorId="0">
      <text>
        <r>
          <rPr>
            <b/>
            <sz val="9"/>
            <color indexed="81"/>
            <rFont val="Tahoma"/>
            <family val="2"/>
          </rPr>
          <t>DoThiHongHanh:</t>
        </r>
        <r>
          <rPr>
            <sz val="9"/>
            <color indexed="81"/>
            <rFont val="Tahoma"/>
            <family val="2"/>
          </rPr>
          <t xml:space="preserve">
Quỹ xúc tiến thương mại + Kp khuyến công
</t>
        </r>
      </text>
    </comment>
    <comment ref="Q77" authorId="0">
      <text>
        <r>
          <rPr>
            <b/>
            <sz val="9"/>
            <color indexed="81"/>
            <rFont val="Tahoma"/>
            <family val="2"/>
          </rPr>
          <t>DoThiHongHanh:</t>
        </r>
        <r>
          <rPr>
            <sz val="9"/>
            <color indexed="81"/>
            <rFont val="Tahoma"/>
            <family val="2"/>
          </rPr>
          <t xml:space="preserve">
bao gồm hỗ trợ các mục tiêu trẻ em</t>
        </r>
      </text>
    </comment>
    <comment ref="R112" authorId="0">
      <text>
        <r>
          <rPr>
            <b/>
            <sz val="9"/>
            <color indexed="81"/>
            <rFont val="Tahoma"/>
            <family val="2"/>
          </rPr>
          <t>DoThiHongHanh:</t>
        </r>
        <r>
          <rPr>
            <sz val="9"/>
            <color indexed="81"/>
            <rFont val="Tahoma"/>
            <family val="2"/>
          </rPr>
          <t xml:space="preserve">
Quỹ hỗ trợ nông dân</t>
        </r>
      </text>
    </comment>
    <comment ref="R126" authorId="0">
      <text>
        <r>
          <rPr>
            <b/>
            <sz val="9"/>
            <color indexed="81"/>
            <rFont val="Tahoma"/>
            <family val="2"/>
          </rPr>
          <t>DoThiHongHanh:</t>
        </r>
        <r>
          <rPr>
            <sz val="9"/>
            <color indexed="81"/>
            <rFont val="Tahoma"/>
            <family val="2"/>
          </rPr>
          <t xml:space="preserve">
Quỹ hỗ trợ phát triển HTX</t>
        </r>
      </text>
    </comment>
  </commentList>
</comments>
</file>

<file path=xl/comments3.xml><?xml version="1.0" encoding="utf-8"?>
<comments xmlns="http://schemas.openxmlformats.org/spreadsheetml/2006/main">
  <authors>
    <author>Hong Hanh</author>
  </authors>
  <commentList>
    <comment ref="P16" authorId="0">
      <text>
        <r>
          <rPr>
            <b/>
            <sz val="9"/>
            <color indexed="81"/>
            <rFont val="Tahoma"/>
            <family val="2"/>
          </rPr>
          <t>Hong Hanh:</t>
        </r>
        <r>
          <rPr>
            <sz val="9"/>
            <color indexed="81"/>
            <rFont val="Tahoma"/>
            <family val="2"/>
          </rPr>
          <t xml:space="preserve">
6 tỷ</t>
        </r>
      </text>
    </comment>
    <comment ref="P19" authorId="0">
      <text>
        <r>
          <rPr>
            <b/>
            <sz val="9"/>
            <color indexed="81"/>
            <rFont val="Tahoma"/>
            <family val="2"/>
          </rPr>
          <t>Hong Hanh:</t>
        </r>
        <r>
          <rPr>
            <sz val="9"/>
            <color indexed="81"/>
            <rFont val="Tahoma"/>
            <family val="2"/>
          </rPr>
          <t xml:space="preserve">
CTDC: 6 tỷ</t>
        </r>
      </text>
    </comment>
  </commentList>
</comments>
</file>

<file path=xl/comments4.xml><?xml version="1.0" encoding="utf-8"?>
<comments xmlns="http://schemas.openxmlformats.org/spreadsheetml/2006/main">
  <authors>
    <author>User</author>
    <author>tranminhchien</author>
    <author>NguyenBinhMinh</author>
  </authors>
  <commentList>
    <comment ref="B45" authorId="0">
      <text>
        <r>
          <rPr>
            <b/>
            <sz val="9"/>
            <color indexed="81"/>
            <rFont val="Tahoma"/>
            <family val="2"/>
          </rPr>
          <t>phải xem lại:
1. BHTN của VPS
2. !0% phải chia ra TC&amp;KTC?</t>
        </r>
        <r>
          <rPr>
            <sz val="9"/>
            <color indexed="81"/>
            <rFont val="Tahoma"/>
            <family val="2"/>
          </rPr>
          <t xml:space="preserve">
</t>
        </r>
      </text>
    </comment>
    <comment ref="D59" authorId="1">
      <text>
        <r>
          <rPr>
            <sz val="8"/>
            <color indexed="81"/>
            <rFont val="Tahoma"/>
            <family val="2"/>
          </rPr>
          <t xml:space="preserve">Nhân lực 12 tỷ 
ĐT cơ sở: 1,6 tỷ; 
CTĐt nước ngoài ECV 50 của tỉnh 6,4 tỷ
</t>
        </r>
      </text>
    </comment>
    <comment ref="B75" authorId="2">
      <text>
        <r>
          <rPr>
            <b/>
            <sz val="9"/>
            <color indexed="81"/>
            <rFont val="Tahoma"/>
            <family val="2"/>
          </rPr>
          <t>Năm sau
Phai trừ tiết kiệm</t>
        </r>
        <r>
          <rPr>
            <sz val="9"/>
            <color indexed="81"/>
            <rFont val="Tahoma"/>
            <family val="2"/>
          </rPr>
          <t xml:space="preserve">
</t>
        </r>
      </text>
    </comment>
  </commentList>
</comments>
</file>

<file path=xl/sharedStrings.xml><?xml version="1.0" encoding="utf-8"?>
<sst xmlns="http://schemas.openxmlformats.org/spreadsheetml/2006/main" count="4797" uniqueCount="1729">
  <si>
    <t>Biểu mẫu số 01</t>
  </si>
  <si>
    <t>DỰ BÁO MỘT SỐ CHỈ TIÊU KINH TẾ - XÃ HỘI CHỦ YẾU GIAI ĐOẠN...</t>
  </si>
  <si>
    <t>(Dùng cho ngân sách tỉnh, thành phố trực thuộc trung ương - năm đầu thời kỳ ổn định ngân sách)</t>
  </si>
  <si>
    <t>STT</t>
  </si>
  <si>
    <t>Nội dung</t>
  </si>
  <si>
    <t>Đơn vị tính</t>
  </si>
  <si>
    <t>Mục tiêu giai đoạn trước</t>
  </si>
  <si>
    <t>Thực hiện giai đoạn trước</t>
  </si>
  <si>
    <t>Kế hoạch giai đoạn...</t>
  </si>
  <si>
    <t>Tổng giai đoạn</t>
  </si>
  <si>
    <t>Năm thứnhất</t>
  </si>
  <si>
    <t>Năm thứ hai</t>
  </si>
  <si>
    <t>Năm thứ ba</t>
  </si>
  <si>
    <t>Năm thứ tư</t>
  </si>
  <si>
    <t>Năm thứ năm</t>
  </si>
  <si>
    <t>A</t>
  </si>
  <si>
    <t>B</t>
  </si>
  <si>
    <t>Tổng sản phẩm trong nước (GRDP) theo giá hiện hành</t>
  </si>
  <si>
    <t>Triệu đồng</t>
  </si>
  <si>
    <t>Tốc độ tăng trưởng GRDP</t>
  </si>
  <si>
    <t>%</t>
  </si>
  <si>
    <t>Cơ cấu kinh tế</t>
  </si>
  <si>
    <t>-</t>
  </si>
  <si>
    <t>Nông, lâm, ngư nghiệp</t>
  </si>
  <si>
    <t>Công nghiệp, xây dựng</t>
  </si>
  <si>
    <t>Dịch vụ</t>
  </si>
  <si>
    <t>Chỉ số giá tiêu dùng (CPI)</t>
  </si>
  <si>
    <t>Tổng vốn đầu tư phát triển toàn xã hội trên địa bàn</t>
  </si>
  <si>
    <t>Tỷ lệ so với GRDP</t>
  </si>
  <si>
    <t>Vốn ngân sách nhà nước</t>
  </si>
  <si>
    <t>Triệu đồng</t>
  </si>
  <si>
    <t>Vốn tín dụng</t>
  </si>
  <si>
    <t>Vốn doanh nghiệp và dân cư</t>
  </si>
  <si>
    <t>Vốn đầu tư trực tiếp nước ngoài</t>
  </si>
  <si>
    <t>Kim ngạch xuất khẩu</t>
  </si>
  <si>
    <t>Triệu USD</t>
  </si>
  <si>
    <t>Tốc độ tăng</t>
  </si>
  <si>
    <t>Kim ngạch nhập khẩu</t>
  </si>
  <si>
    <t>Triệu USD</t>
  </si>
  <si>
    <t>Dân số</t>
  </si>
  <si>
    <t>1.000 người</t>
  </si>
  <si>
    <t>Thu nhập bình quân đầu người</t>
  </si>
  <si>
    <t>Giải quyết việc làm mới</t>
  </si>
  <si>
    <t>1.000 laođộng</t>
  </si>
  <si>
    <t>Tỷ lệ lao động qua đào tạo</t>
  </si>
  <si>
    <t>Tỷ lệ hộ nghèo</t>
  </si>
  <si>
    <t>Tỷ lệ giảm hộ nghèo</t>
  </si>
  <si>
    <t>%/năm</t>
  </si>
  <si>
    <t>Tỷ lệ xã đạt tiêu chuẩn nông thôn mới</t>
  </si>
  <si>
    <t>Số xã đạt tiêu chuẩn nông thôn mới (lũy kế)</t>
  </si>
  <si>
    <t>xã</t>
  </si>
  <si>
    <t>………….</t>
  </si>
  <si>
    <t>Ghi chú: Cột 9 không chi tiết từng năm.</t>
  </si>
  <si>
    <t>Biểu mẫu số 02</t>
  </si>
  <si>
    <t>KẾ HOẠCH TÀI CHÍNH - NGÂN SÁCH GIAI ĐOẠN 05 NĂM...</t>
  </si>
  <si>
    <t>(Dùng cho ngân sách tỉnh, thành phố trực thuộc trung ương)</t>
  </si>
  <si>
    <t>Đơn vị: Triệu đồng</t>
  </si>
  <si>
    <t>Kế hoạch giai đoạn trước</t>
  </si>
  <si>
    <t>Năm thứ nhất</t>
  </si>
  <si>
    <t>Năm thứhai</t>
  </si>
  <si>
    <t>Năm thứ ba</t>
  </si>
  <si>
    <t>TỔNG SẢN PHẨM TRONG NƯỚC (CRDP) THEO GIÁ HIỆN HÀNH</t>
  </si>
  <si>
    <t>TỔNG THU NSNN TRÊN ĐỊA BÀN</t>
  </si>
  <si>
    <t>Tỷ lệ thu NSNN so với GRDP (%)</t>
  </si>
  <si>
    <t>Tỷ lệ thu từ thuế, phí so với GRDP (%)</t>
  </si>
  <si>
    <t>Thu nội địa</t>
  </si>
  <si>
    <t>Tốc độ tăng thu (%)</t>
  </si>
  <si>
    <t>Tỷ trọng trong tổng thu NSNN trên địa bàn (%)</t>
  </si>
  <si>
    <t>Trong đó: Thu tiền sử dụng đất</t>
  </si>
  <si>
    <t>                Thu xổ số kiến thiết</t>
  </si>
  <si>
    <t>II</t>
  </si>
  <si>
    <t>Thu từ dầu thô (nếu có)</t>
  </si>
  <si>
    <t>Tốc độ tăng thu (%)</t>
  </si>
  <si>
    <t>III</t>
  </si>
  <si>
    <t>Thu từ hoạt động xuất, nhập khẩu (nếu có)</t>
  </si>
  <si>
    <t>Tốc độ tăng thu (%)</t>
  </si>
  <si>
    <t>Tỷ trọng trong tổng thu NSNN trên địa bàn (%)</t>
  </si>
  <si>
    <t>IV</t>
  </si>
  <si>
    <t>Thu viện trợ (nếu có)</t>
  </si>
  <si>
    <t>C</t>
  </si>
  <si>
    <t>TỔNG THU NSĐP</t>
  </si>
  <si>
    <t>Tốc độ tăng thu NSĐP (%)</t>
  </si>
  <si>
    <t>Tỷ lệ thu NSĐP so với GRDP (%)</t>
  </si>
  <si>
    <t>I</t>
  </si>
  <si>
    <t>Thu NSĐP được hưởng theo phân cấp</t>
  </si>
  <si>
    <t>Tốc độ tăng (%)</t>
  </si>
  <si>
    <t>Tỷ trọng trong tổng thu NSĐP (%)</t>
  </si>
  <si>
    <t>Thu bổ sung cân đối ngân sách</t>
  </si>
  <si>
    <t>Thu bổ sung có mục tiêu</t>
  </si>
  <si>
    <t>D</t>
  </si>
  <si>
    <t>TỔNG CHI NSĐP</t>
  </si>
  <si>
    <t>Tốc độ tăng thu NSĐP (%)</t>
  </si>
  <si>
    <t>Tỷ lệ chi NSĐP so với GRDP (%)</t>
  </si>
  <si>
    <t>Chi đầu tư phát triển (1)</t>
  </si>
  <si>
    <t>Tốc độ tăng (%)</t>
  </si>
  <si>
    <t>Tỷ trọng trong tổng chi NSĐP (%)</t>
  </si>
  <si>
    <t>Chi thường xuyên</t>
  </si>
  <si>
    <t>Chi trả nợ lãi các khoản do chính quyền địa phương vay</t>
  </si>
  <si>
    <t>Chi tạo nguồn, điều chỉnh tiền lương</t>
  </si>
  <si>
    <t>E</t>
  </si>
  <si>
    <t>BỘI CHI/BỘI THU NSĐP</t>
  </si>
  <si>
    <t>G</t>
  </si>
  <si>
    <t>TỔNG MỨC VAY, TRẢ NỢ CỦA NSĐP</t>
  </si>
  <si>
    <t>Hạn mức dư nợ vay tối đa của NSĐP</t>
  </si>
  <si>
    <t>Mức dư nợ đầu kỳ (năm)</t>
  </si>
  <si>
    <t>Tỷ lệ mức dư nợ đầu kỳ (năm) so với mức dư nợ vay tối đa của NSĐP (%)</t>
  </si>
  <si>
    <t>Tỷ lệ mức dư nợ đầu kỳ (năm) so với GRDP (%)</t>
  </si>
  <si>
    <t>Trả nợ gốc vay trong kỳ (năm)</t>
  </si>
  <si>
    <t>Từ nguồn vay để trả nợ gốc</t>
  </si>
  <si>
    <t>Từ nguồn bội thu NSĐP; tăng thu, tiết kiệm chi; kết dư ngân sách cấp tỉnh</t>
  </si>
  <si>
    <t>Tổng mức vay trong kỳ (năm)</t>
  </si>
  <si>
    <t>Vay để bù đắp bội chi</t>
  </si>
  <si>
    <t>Vay để trả nợ gốc</t>
  </si>
  <si>
    <t>V</t>
  </si>
  <si>
    <t>Mức dư nợ cuối kỳ (năm)</t>
  </si>
  <si>
    <t>Tỷ lệ mức dư nợ cuối kỳ (năm) so với mức dư nợ vay tối đa của NSĐP (%)</t>
  </si>
  <si>
    <t>Tỷ lệ mức dư nợ cuối kỳ (năm) so với GRDP (%)</t>
  </si>
  <si>
    <t>(2) Cột 8 không chi tiết từng năm.</t>
  </si>
  <si>
    <t>Ghi chú: </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</si>
  <si>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</si>
  <si>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r>
      <t>Kế hoạch giai đoạn</t>
    </r>
    <r>
      <rPr>
        <sz val="11"/>
        <rFont val="Times New Roman"/>
        <family val="1"/>
      </rPr>
      <t> </t>
    </r>
    <r>
      <rPr>
        <b/>
        <sz val="11"/>
        <rFont val="Times New Roman"/>
        <family val="1"/>
      </rPr>
      <t>.... (2)</t>
    </r>
  </si>
  <si>
    <r>
      <t>Tốc độ tăng</t>
    </r>
    <r>
      <rPr>
        <sz val="11"/>
        <rFont val="Times New Roman"/>
        <family val="1"/>
      </rPr>
      <t> </t>
    </r>
    <r>
      <rPr>
        <i/>
        <sz val="11"/>
        <rFont val="Times New Roman"/>
        <family val="1"/>
      </rPr>
      <t>thu NSNN trên địa bàn (%)</t>
    </r>
  </si>
  <si>
    <r>
      <t>Tỷ</t>
    </r>
    <r>
      <rPr>
        <sz val="11"/>
        <rFont val="Times New Roman"/>
        <family val="1"/>
      </rPr>
      <t> </t>
    </r>
    <r>
      <rPr>
        <i/>
        <sz val="11"/>
        <rFont val="Times New Roman"/>
        <family val="1"/>
      </rPr>
      <t>trọng trong tổng thu NSNN trên địa bàn (%)</t>
    </r>
  </si>
  <si>
    <r>
      <t>Thu bổ</t>
    </r>
    <r>
      <rPr>
        <sz val="11"/>
        <rFont val="Times New Roman"/>
        <family val="1"/>
      </rPr>
      <t> </t>
    </r>
    <r>
      <rPr>
        <b/>
        <sz val="11"/>
        <rFont val="Times New Roman"/>
        <family val="1"/>
      </rPr>
      <t>sung từ ngân sách cấp trên</t>
    </r>
  </si>
  <si>
    <t>Biểu mẫu số 03</t>
  </si>
  <si>
    <t>DỰ KIẾN PHƯƠNG ÁN PHÂN BỔ KẾ HOẠCH ĐẦU TƯ CÔNG TRUNG HẠN VỐN NSNN GIAI ĐOẠN 05 NĂM...</t>
  </si>
  <si>
    <t>(Dùng cho ngân sách các cấp chính quyền địa phương)</t>
  </si>
  <si>
    <t>Nhu cầu kế hoạch đầu tư công trung hạn vốn NSNN giai đoạn 05 năm…(2)</t>
  </si>
  <si>
    <t>Dự kiến kế hoạch đầu tư công trung hạn vốn NSNN giai đoạn 05 năm ….(2)</t>
  </si>
  <si>
    <t>Ghi chú</t>
  </si>
  <si>
    <t>Tổng số</t>
  </si>
  <si>
    <t>Ngân sách cấp tỉnh (huyện)</t>
  </si>
  <si>
    <t>Ngân sách huyện (xã)</t>
  </si>
  <si>
    <t>TỔNG SỐ</t>
  </si>
  <si>
    <t>Trong đó:</t>
  </si>
  <si>
    <t>Vốn trong nước</t>
  </si>
  <si>
    <t>Vốn nước ngoài</t>
  </si>
  <si>
    <t>CHI ĐẦU TƯ PHÁT TRIỂN</t>
  </si>
  <si>
    <t>Đầu tư từ nguồn thu sử dụng đất</t>
  </si>
  <si>
    <t>Đầu tư từ nguồn thu xổ số kiến thiết</t>
  </si>
  <si>
    <t>Vốn cân đối địa phương theo tiêu chí, định mức</t>
  </si>
  <si>
    <t>Bội chi/ bội thu NSĐP (1)</t>
  </si>
  <si>
    <t>CHI ĐẦU TƯ CÁC CHƯƠNG TRÌNH MỤC TIÊU</t>
  </si>
  <si>
    <t>Các chương trình mục tiêu quốc gia</t>
  </si>
  <si>
    <t>a</t>
  </si>
  <si>
    <t>Chương trình mục tiêu quốc gia...</t>
  </si>
  <si>
    <t>b</t>
  </si>
  <si>
    <t>Chương trình mục tiêu quốc gia …</t>
  </si>
  <si>
    <t>Phân loại như trên</t>
  </si>
  <si>
    <t>...</t>
  </si>
  <si>
    <t>…</t>
  </si>
  <si>
    <t>Các chương trình mục tiêu</t>
  </si>
  <si>
    <t>Chương trình mục tiêu …</t>
  </si>
  <si>
    <t>Chương trình mục tiêu...</t>
  </si>
  <si>
    <t>Phân loại như trên</t>
  </si>
  <si>
    <t>DỰ PHÒNG THEO LUẬT ĐẦU TƯ CÔNG</t>
  </si>
  <si>
    <t>Vốn trong nước</t>
  </si>
  <si>
    <t>Ghi chú: (1) Theo quy định tại Điều 7 Luật NSNN, ngân sách huyện, xã không có bội chi ngân sách địa phương;</t>
  </si>
  <si>
    <t>(2) Ngân sách cấp xã không phải lập chỉ tiêu cột 2, 3, 5, 6.</t>
  </si>
  <si>
    <t>Biểu mẫu số 04</t>
  </si>
  <si>
    <t>TỔNG HỢP DỰ KIẾN KẾ HOẠCH ĐẦU TƯ CÔNG TRUNG HẠN VỐN NSNN CỦA CÁC CƠ QUAN, ĐƠN VỊ VÀ ĐỊA PHƯƠNG GIAI ĐOẠN 05 NĂM...</t>
  </si>
  <si>
    <t>Tên đơn vị</t>
  </si>
  <si>
    <t>Trong đó</t>
  </si>
  <si>
    <t>Đầu tư theo ngành, lĩnh vực của các cơ quan, đơn vị và cân đối NSĐP</t>
  </si>
  <si>
    <t>Chương trình mục tiêu quốc gia</t>
  </si>
  <si>
    <t>Chương trình mục tiêu</t>
  </si>
  <si>
    <t>Cơ quan A</t>
  </si>
  <si>
    <t>Tổ chức B</t>
  </si>
  <si>
    <t>......</t>
  </si>
  <si>
    <t>Huyện A</t>
  </si>
  <si>
    <t>Quận B</t>
  </si>
  <si>
    <t>Thành phố C</t>
  </si>
  <si>
    <t>Thị xã D</t>
  </si>
  <si>
    <t>…….</t>
  </si>
  <si>
    <t>Xã A</t>
  </si>
  <si>
    <t>Phường B</t>
  </si>
  <si>
    <t>Thị trấn C</t>
  </si>
  <si>
    <t>…………</t>
  </si>
  <si>
    <t>Biểu mẫu số 05</t>
  </si>
  <si>
    <t>DANH MỤC CHƯƠNG TRÌNH, DỰ ÁN DỰ KIẾN BỐ TRÍ KẾ HOẠCH ĐẦU TƯ CÔNG TRUNG HẠN VỐN TRONG NƯỚC GIAI ĐOẠN 05 NĂM...</t>
  </si>
  <si>
    <t>Danh mục dự án</t>
  </si>
  <si>
    <t>Địa điểm xây dựng</t>
  </si>
  <si>
    <t>Năng lực thiết kế</t>
  </si>
  <si>
    <t>Thời gian khởi công - hoàn thành</t>
  </si>
  <si>
    <t>Quyết định đầu tư</t>
  </si>
  <si>
    <t>Nhu cầu kế hoạch đầu tư công trung hạn vốn trong nước</t>
  </si>
  <si>
    <t>Dự kiến kế hoạch đầu tư công trung hạn vốn trong nước</t>
  </si>
  <si>
    <t>Số Quyết định, ngày, tháng, năm ban hành</t>
  </si>
  <si>
    <t>Tổng mức đầu tư</t>
  </si>
  <si>
    <t>Tổng số (tất cả các nguồn vốn)</t>
  </si>
  <si>
    <t>Trong đó: NSTW</t>
  </si>
  <si>
    <t>NGÀNH, LĨNH VỰC, CHƯƠNG TRÌNH….</t>
  </si>
  <si>
    <t>CƠ QUAN, ĐƠN VỊ, HUYỆN (XÃ) ….</t>
  </si>
  <si>
    <t>Chuẩn bị đầu tư</t>
  </si>
  <si>
    <t>Dự án A</t>
  </si>
  <si>
    <t>Thực hiện dự án</t>
  </si>
  <si>
    <t>Dự án chuyển tiếp từ giai đoạn 5 năm … sang giai đoạn 5 năm …</t>
  </si>
  <si>
    <t>Dự án B</t>
  </si>
  <si>
    <t>…………..</t>
  </si>
  <si>
    <t>Dự án khởi công mới trong giai đoạn 5 năm ….</t>
  </si>
  <si>
    <t>Dự án C</t>
  </si>
  <si>
    <t>…..</t>
  </si>
  <si>
    <t>Phân loại như trên</t>
  </si>
  <si>
    <t>NGÀNH, LĨNH VỰC, CHƯƠNG TRÌNH…</t>
  </si>
  <si>
    <t>Phân loại như mục A nêu trên</t>
  </si>
  <si>
    <t>……….</t>
  </si>
  <si>
    <t>Biểu mẫu số 06</t>
  </si>
  <si>
    <t>DANH MỤC CHƯƠNG TRÌNH, DỰ ÁN DỰ KIẾN BỐ TRÍ KẾ HOẠCH ĐẦU TƯ CÔNG TRUNG HẠN VỐN NƯỚC NGOÀI (VỐN ODA VÀ VỐN VAY ƯU ĐÃI CỦA CÁC NHÀ TÀI TRỢ NƯỚC NGOÀI) GIAI ĐOẠN 05 NĂM...</t>
  </si>
  <si>
    <t>Nhu cầu kế hoạch đầu tư công trung hạn</t>
  </si>
  <si>
    <t>Dự kiến kế hoạch đầu tư công trung hạn</t>
  </si>
  <si>
    <t>Số Quyết định, ngày tháng, năm ban hành</t>
  </si>
  <si>
    <t>Vốn đối ứng</t>
  </si>
  <si>
    <t>Vốn nước ngoài (tính theo đồng Việt Nam)</t>
  </si>
  <si>
    <t>Vốn nước ngoài (theo Hiệp định)</t>
  </si>
  <si>
    <t>Trong đó: Ngân sách trung ương</t>
  </si>
  <si>
    <t>Tính bằng ngoại tệ</t>
  </si>
  <si>
    <t>Quy đổi ra đồng Việt Nam</t>
  </si>
  <si>
    <t>Ngân sách trung ương</t>
  </si>
  <si>
    <t>Nguồn vốn khác</t>
  </si>
  <si>
    <t>NGÀNH, LĨNH VỰC, CHƯƠNG TRÌNH…..</t>
  </si>
  <si>
    <t>CƠ QUAN, ĐƠN VỊ, HUYỆN (XÃ)….</t>
  </si>
  <si>
    <t> Dự án A</t>
  </si>
  <si>
    <t>Dự án chuyển tiếp từ giai đoạn 5 năm … sang giai đoạn 5 năm ….</t>
  </si>
  <si>
    <t>…………….</t>
  </si>
  <si>
    <t>Biểu mẫu số 07</t>
  </si>
  <si>
    <t>(Dùng cho ngân sách tỉnh, thành phố trực thuộc trung ương)</t>
  </si>
  <si>
    <t>So sánh</t>
  </si>
  <si>
    <t>Tuyệt đối</t>
  </si>
  <si>
    <t>Tương đối</t>
  </si>
  <si>
    <t>3= 2-1</t>
  </si>
  <si>
    <t>4= 2/1</t>
  </si>
  <si>
    <t>TỔNG NGUỒN THU NSĐP</t>
  </si>
  <si>
    <t>Thu NSĐP được hưởng theo phân cấp</t>
  </si>
  <si>
    <t>Thu bổ sung từ ngân sách cấp trên</t>
  </si>
  <si>
    <t>Thu bổ sung cân đối ngân sách</t>
  </si>
  <si>
    <t>Thu từ quỹ dự trữ tài chính</t>
  </si>
  <si>
    <t>Thu kết dư</t>
  </si>
  <si>
    <t>Thu chuyển nguồn từ năm trước chuyển sang</t>
  </si>
  <si>
    <t>Tổng chi cân đối ngân sách địa phương</t>
  </si>
  <si>
    <t>Chi trả nợ lãi các khoản do chính quyền địa phương vay</t>
  </si>
  <si>
    <t>Chi bổ sung quỹ dự trữ tài chính</t>
  </si>
  <si>
    <t>Dự phòng ngân sách</t>
  </si>
  <si>
    <t>Chi các chương trình mục tiêu</t>
  </si>
  <si>
    <t>Chi các chương trình mục tiêu quốc gia</t>
  </si>
  <si>
    <t>Chi các chương trình mục tiêu, nhiệm vụ</t>
  </si>
  <si>
    <t>Chi chuyển nguồn sang năm sau</t>
  </si>
  <si>
    <t>BỘI CHI NSĐP/BỘI THU NSĐP</t>
  </si>
  <si>
    <t>TỔNG MỨC VAY, TRẢ NỢ CỦA NSĐP</t>
  </si>
  <si>
    <t>Hạn mức dư nợ vay tối đa của NSĐP</t>
  </si>
  <si>
    <t>Mức dư nợ đầu kỳ (năm)</t>
  </si>
  <si>
    <t>Trả nợ gốc vay của NSĐP</t>
  </si>
  <si>
    <t>Từ nguồn bội thu, tăng thu, tiết kiệm chi, kết dư ngân sách cấp tỉnh</t>
  </si>
  <si>
    <t>Tổng mức vay của NSĐP</t>
  </si>
  <si>
    <t>Vay để bù đắp bội chi</t>
  </si>
  <si>
    <t>Vay để trả nợ gốc</t>
  </si>
  <si>
    <t>(2) Năm N là năm dự toán ngân sách; theo đó, các năm N-1, N+1 và N+2 là năm trước, năm sau và năm sau nữa của năm dự toán ngân sách.</t>
  </si>
  <si>
    <t>Biểu mẫu số 08</t>
  </si>
  <si>
    <t>Nội dung</t>
  </si>
  <si>
    <t>3=2/1</t>
  </si>
  <si>
    <t>TỔNG THU NGÂN SÁCH NHÀ NƯỚC</t>
  </si>
  <si>
    <t>Tỷ lệ thu từ thuế, phí so với GRDP (%)</t>
  </si>
  <si>
    <t>Tốc độ tăng thu (%)</t>
  </si>
  <si>
    <t>Tỷ trọng trong tổng thu NSNN (%)</t>
  </si>
  <si>
    <t>Thu từ khu vực doanh nghiệp nhà nước do trung ương quản lý (1)</t>
  </si>
  <si>
    <t>Thu từ khu vực doanh nghiệp nhà nước do địa phương quản lý (2)</t>
  </si>
  <si>
    <t>Thu từ khu vực doanh nghiệp có vốn đầu tư nước ngoài (3)</t>
  </si>
  <si>
    <t>Thu từ khu vực kinh tế ngoài quốc doanh (4)</t>
  </si>
  <si>
    <t>Thuế thu nhập cá nhân</t>
  </si>
  <si>
    <t>Thuế bảo vệ môi trường</t>
  </si>
  <si>
    <t>Lệ phí trước bạ</t>
  </si>
  <si>
    <t>Thu tiền sử dụng đất</t>
  </si>
  <si>
    <t>Thu từ hoạt động xổ số kiến thiết</t>
  </si>
  <si>
    <t>Thu hồi vốn, thu cổ tức, lợi nhuận sau thuế, chênh lệch thu, chi NHNN (5)</t>
  </si>
  <si>
    <t>Thu từ dầu thô</t>
  </si>
  <si>
    <t>Thu từ hoạt động xuất, nhập khẩu</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</si>
  <si>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</si>
  <si>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</si>
  <si>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</si>
  <si>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</si>
  <si>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</si>
  <si>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</si>
  <si>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chênh lệch thu, chi Ngân hàng Nhà nước chỉ áp dụng đối với thành phố Hà Nội.</t>
  </si>
  <si>
    <t>Biểu mẫu số 09</t>
  </si>
  <si>
    <t>NGÂN SÁCH CẤP TỈNH</t>
  </si>
  <si>
    <t>Nguồn thu ngân sách</t>
  </si>
  <si>
    <t>Thu ngân sách được hưởng theo phân cấp</t>
  </si>
  <si>
    <t>Thu bổ sung từ ngân sách cấp trên</t>
  </si>
  <si>
    <t>Thu kết dư</t>
  </si>
  <si>
    <t>Chi ngân sách</t>
  </si>
  <si>
    <t>Chi thuộc nhiệm vụ của ngân sách cấp tỉnh</t>
  </si>
  <si>
    <t>Chi bổ sung cho ngân sách cấp dưới</t>
  </si>
  <si>
    <t>Chi bổ sung cân đối ngân sách</t>
  </si>
  <si>
    <t>Chi bổ sung có mục tiêu</t>
  </si>
  <si>
    <t>Bội chi NSĐP/Bội thu NSĐP</t>
  </si>
  <si>
    <t>NGÂN SÁCH HUYỆN</t>
  </si>
  <si>
    <t>Chi ngân sách</t>
  </si>
  <si>
    <t>Chi thuộc nhiệm vụ của ngân sách huyện</t>
  </si>
  <si>
    <t>Chi bổ sung cho ngân sách cấp dưới</t>
  </si>
  <si>
    <r>
      <rPr>
        <b/>
        <i/>
        <sz val="11"/>
        <rFont val="Times New Roman"/>
        <family val="1"/>
      </rPr>
      <t>Ghi chú:</t>
    </r>
    <r>
      <rPr>
        <i/>
        <sz val="11"/>
        <rFont val="Times New Roman"/>
        <family val="1"/>
      </rPr>
      <t xml:space="preserve"> (1) Năm N là năm dự toán ngân sách; theo đó, các năm N-1, N+1 và N+2 là năm trước, năm sau và năm sau nữa của năm dự toán ngân sách.</t>
    </r>
  </si>
  <si>
    <t>Biểu mẫu số 10</t>
  </si>
  <si>
    <t>TỔNG CHI NGÂN SÁCH CẤP TỈNH</t>
  </si>
  <si>
    <t>CHI BỔ SUNG CHO NGÂN SÁCH HUYỆN</t>
  </si>
  <si>
    <t>Chi bổ sung cân đối ngân sách</t>
  </si>
  <si>
    <t>CHI NGÂN SÁCH CẤP TỈNH THEO LĨNH VỰC</t>
  </si>
  <si>
    <t>Chi đầu tư cho các dự án</t>
  </si>
  <si>
    <t>Chi các chương trình mục tiêu, nhiệm vụ</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</si>
  <si>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</si>
  <si>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</si>
  <si>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r>
      <t>(2) Năm N là năm dự toán ngân sách; theo đó, các năm N-1,</t>
    </r>
    <r>
      <rPr>
        <sz val="11"/>
        <rFont val="Times New Roman"/>
        <family val="1"/>
      </rPr>
      <t> </t>
    </r>
    <r>
      <rPr>
        <i/>
        <sz val="11"/>
        <rFont val="Times New Roman"/>
        <family val="1"/>
      </rPr>
      <t>N+1 và N+2 là năm trước, năm sau và năm sau nữa của năm dự toán ngân sách.</t>
    </r>
  </si>
  <si>
    <r>
      <t>Ghi chú:</t>
    </r>
    <r>
      <rPr>
        <i/>
        <sz val="11"/>
        <rFont val="Times New Roman"/>
        <family val="1"/>
      </rPr>
      <t/>
    </r>
  </si>
  <si>
    <t>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</si>
  <si>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Biểu mẫu số 11</t>
  </si>
  <si>
    <t>Đơn vị: Triệu đồng</t>
  </si>
  <si>
    <t>Đầu tư từ nguồn thu xổ số kiến thiết</t>
  </si>
  <si>
    <t>c</t>
  </si>
  <si>
    <t>Vốn cân đối địa phương theo tiêu chí, định mức</t>
  </si>
  <si>
    <t>Bội chi/ bội thu NSĐP</t>
  </si>
  <si>
    <t>Ngân sách huyện</t>
  </si>
  <si>
    <t>Đầu tư từ nguồn thu xổ số kiến thiết (nếu có)</t>
  </si>
  <si>
    <t>Vốn cân đối địa phương theo tiêu chí, định mức</t>
  </si>
  <si>
    <t>- Vốn trong nước</t>
  </si>
  <si>
    <t>- Vốn nước ngoài</t>
  </si>
  <si>
    <t>Vốn nước ngoài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</si>
  <si>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</si>
  <si>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Năm N là năm dự toán ngân sách; theo đó, các năm N-1, N+1 và N+2 là năm trước, năm sau và năm sau nữa của năm dự toán ngân sách.</t>
  </si>
  <si>
    <r>
      <t>Đầu tư</t>
    </r>
    <r>
      <rPr>
        <sz val="11"/>
        <rFont val="Times New Roman"/>
        <family val="1"/>
      </rPr>
      <t> </t>
    </r>
    <r>
      <rPr>
        <i/>
        <sz val="11"/>
        <rFont val="Times New Roman"/>
        <family val="1"/>
      </rPr>
      <t>từ nguồn thu sử dụng đất</t>
    </r>
  </si>
  <si>
    <r>
      <t>Đầu tư từ nguồn thu sử</t>
    </r>
    <r>
      <rPr>
        <sz val="11"/>
        <rFont val="Times New Roman"/>
        <family val="1"/>
      </rPr>
      <t> </t>
    </r>
    <r>
      <rPr>
        <i/>
        <sz val="11"/>
        <rFont val="Times New Roman"/>
        <family val="1"/>
      </rPr>
      <t>dụng đất</t>
    </r>
  </si>
  <si>
    <t>(1) Chưa bao gồm chi đầu tư cho các chương trình mục tiêu quốc gia và các chương trình mục tiêu tại mục II.</t>
  </si>
  <si>
    <t>Biểu mẫu số 12</t>
  </si>
  <si>
    <t>Nội dung (1)</t>
  </si>
  <si>
    <t>Dự toán năm...</t>
  </si>
  <si>
    <t>Tương đối (%)</t>
  </si>
  <si>
    <t>3=2-1</t>
  </si>
  <si>
    <t>4=2/1</t>
  </si>
  <si>
    <t>Thu NSĐP được hưởng theo phân cấp</t>
  </si>
  <si>
    <t>Thu NSĐP hưởng 100%</t>
  </si>
  <si>
    <t>Thu NSĐP hưởng từ các khoản thu phân chia</t>
  </si>
  <si>
    <t>Thu bổ sung từ ngân sách cấp trên</t>
  </si>
  <si>
    <t>Thu từ quỹ dự trữ tài chính</t>
  </si>
  <si>
    <t>Tổng chi cân đối NSĐP</t>
  </si>
  <si>
    <t>Chi đầu tư phát triển</t>
  </si>
  <si>
    <t>CHI TRẢ NỢ GỐC CỦA NSĐP</t>
  </si>
  <si>
    <t>TỔNG MỨC VAY CỦA NSĐP</t>
  </si>
  <si>
    <t>Vay để trả nợ gốc</t>
  </si>
  <si>
    <r>
      <t>Ghi chú:</t>
    </r>
    <r>
      <rPr>
        <i/>
        <sz val="11"/>
        <rFont val="Times New Roman"/>
        <family val="1"/>
      </rPr>
      <t> (1)Theo quy định tại Điều 7, Điều 11 Luật NSNN, ngân sách huyện, xã không có nhiệm vụ chi trả nợ lãi vay, thu - chi quỹ dự trữ tài chính, bội chi NSĐP, vay và chi</t>
    </r>
    <r>
      <rPr>
        <sz val="11"/>
        <rFont val="Times New Roman"/>
        <family val="1"/>
      </rPr>
      <t> </t>
    </r>
    <r>
      <rPr>
        <i/>
        <sz val="11"/>
        <rFont val="Times New Roman"/>
        <family val="1"/>
      </rPr>
      <t>trả nợ gốc.</t>
    </r>
  </si>
  <si>
    <t>Biểu mẫu số 13</t>
  </si>
  <si>
    <t>So sánh (%)</t>
  </si>
  <si>
    <t>Tổng thu NSNN</t>
  </si>
  <si>
    <t>Thu NSĐP</t>
  </si>
  <si>
    <t>5=3/1</t>
  </si>
  <si>
    <t>6=4/2</t>
  </si>
  <si>
    <t>TỔNG THU NSNN</t>
  </si>
  <si>
    <t>Thu từ khu vực DNNN do trung ương quản lý (1)</t>
  </si>
  <si>
    <t>(Chi tiết theo sắc thuế)</t>
  </si>
  <si>
    <t>Thuế BVMT thu từ hàng hóa sản xuất, kinh doanh trong nước</t>
  </si>
  <si>
    <t>Thuế BVMT thu từ hàng hóa nhập khẩu</t>
  </si>
  <si>
    <t>Lệ phí trước bạ</t>
  </si>
  <si>
    <t>Thu phí, lệ phí</t>
  </si>
  <si>
    <t>Phí và lệ phí trung ương</t>
  </si>
  <si>
    <t>Phí và lệ phí huyện</t>
  </si>
  <si>
    <t>Phí và lệ phí xã, phường</t>
  </si>
  <si>
    <t>Thuế sử dụng đất nông nghiệp</t>
  </si>
  <si>
    <t>Thuế sử dụng đất phi nông nghiệp</t>
  </si>
  <si>
    <t>Tiền cho thuê đất, thuê mặt nước</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</si>
  <si>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</si>
  <si>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</si>
  <si>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</si>
  <si>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</si>
  <si>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</si>
  <si>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</si>
  <si>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</si>
  <si>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</si>
  <si>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</si>
  <si>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</si>
  <si>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</si>
  <si>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</si>
  <si>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</si>
  <si>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</si>
  <si>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</si>
  <si>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</si>
  <si>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</si>
  <si>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r>
      <t>(1) Doanh nghiệp nhà nước do trung</t>
    </r>
    <r>
      <rPr>
        <sz val="11"/>
        <rFont val="Times New Roman"/>
        <family val="1"/>
      </rPr>
      <t> </t>
    </r>
    <r>
      <rPr>
        <i/>
        <sz val="11"/>
        <rFont val="Times New Roman"/>
        <family val="1"/>
      </rPr>
      <t>ương quản lý là doanh nghiệp do bộ, cơ quan ngang bộ, cơ quan thuộc Chính phủ, cơ quan khác ở</t>
    </r>
    <r>
      <rPr>
        <sz val="11"/>
        <rFont val="Times New Roman"/>
        <family val="1"/>
      </rPr>
      <t> </t>
    </r>
    <r>
      <rPr>
        <i/>
        <sz val="11"/>
        <rFont val="Times New Roman"/>
        <family val="1"/>
      </rPr>
      <t>trung ương đại diện Nhà nước chủ sở hữu 100% vốn điều lệ.</t>
    </r>
  </si>
  <si>
    <r>
      <t>(2) Doanh nghiệp nhà nước do địa phương quản lý</t>
    </r>
    <r>
      <rPr>
        <sz val="11"/>
        <rFont val="Times New Roman"/>
        <family val="1"/>
      </rPr>
      <t> </t>
    </r>
    <r>
      <rPr>
        <i/>
        <sz val="11"/>
        <rFont val="Times New Roman"/>
        <family val="1"/>
      </rPr>
      <t>là doanh nghiệp do Ủy ban nhân dân cấp tỉnh đại diện Nhà nước chủ sở hữu 100% vốn điều lệ.</t>
    </r>
  </si>
  <si>
    <r>
      <t>(3) Doanh nghiệp có</t>
    </r>
    <r>
      <rPr>
        <sz val="11"/>
        <rFont val="Times New Roman"/>
        <family val="1"/>
      </rPr>
      <t> </t>
    </r>
    <r>
      <rPr>
        <i/>
        <sz val="11"/>
        <rFont val="Times New Roman"/>
        <family val="1"/>
      </rPr>
      <t>vốn</t>
    </r>
    <r>
      <rPr>
        <sz val="11"/>
        <rFont val="Times New Roman"/>
        <family val="1"/>
      </rPr>
      <t> </t>
    </r>
    <r>
      <rPr>
        <i/>
        <sz val="11"/>
        <rFont val="Times New Roman"/>
        <family val="1"/>
      </rPr>
      <t>đầu</t>
    </r>
    <r>
      <rPr>
        <sz val="11"/>
        <rFont val="Times New Roman"/>
        <family val="1"/>
      </rPr>
      <t> </t>
    </r>
    <r>
      <rPr>
        <i/>
        <sz val="11"/>
        <rFont val="Times New Roman"/>
        <family val="1"/>
      </rPr>
      <t>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r>
  </si>
  <si>
    <t>Biểu mẫu số 14</t>
  </si>
  <si>
    <t>Tương đối (%)</t>
  </si>
  <si>
    <t>CHI CÂN ĐỐI NSĐP</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</si>
  <si>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</si>
  <si>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</si>
  <si>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</si>
  <si>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</si>
  <si>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</si>
  <si>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</si>
  <si>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</si>
  <si>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</si>
  <si>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</si>
  <si>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</si>
  <si>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</si>
  <si>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</si>
  <si>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</si>
  <si>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</si>
  <si>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</si>
  <si>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r>
      <t>Ghi chú: </t>
    </r>
    <r>
      <rPr>
        <i/>
        <sz val="11"/>
        <rFont val="Times New Roman"/>
        <family val="1"/>
      </rPr>
      <t>(1) Theo quy định tại Điều 7, Điều 11 và Điều 39 Luật NSNN, ngân sách huyện, xã không có nhiệm vụ chi</t>
    </r>
    <r>
      <rPr>
        <sz val="11"/>
        <rFont val="Times New Roman"/>
        <family val="1"/>
      </rPr>
      <t> </t>
    </r>
    <r>
      <rPr>
        <i/>
        <sz val="11"/>
        <rFont val="Times New Roman"/>
        <family val="1"/>
      </rPr>
      <t>nghiên cứu khoa học và công nghệ, chi trả</t>
    </r>
    <r>
      <rPr>
        <sz val="11"/>
        <rFont val="Times New Roman"/>
        <family val="1"/>
      </rPr>
      <t> </t>
    </r>
    <r>
      <rPr>
        <i/>
        <sz val="11"/>
        <rFont val="Times New Roman"/>
        <family val="1"/>
      </rPr>
      <t>lãi vay, chi bổ sung quỹ dự trữ tài chính.</t>
    </r>
  </si>
  <si>
    <t>Tương đối (%)</t>
  </si>
  <si>
    <t>TỔNG NGUỒN THU NSĐP</t>
  </si>
  <si>
    <t>Thu chuyển nguồn từ năm trước chuyển sang</t>
  </si>
  <si>
    <t>Chi trả nợ lãi các khoản do chính quyền địa phương vay (2)</t>
  </si>
  <si>
    <t>Chi bổ sung quỹ dự trữ tài chính (2)</t>
  </si>
  <si>
    <t>Chi các chương trình mục tiêu</t>
  </si>
  <si>
    <t>Chi chuyển nguồn sang năm sau</t>
  </si>
  <si>
    <t>Từ nguồn bội thu, tăng thu, tiết kiệm chi, kết dư ngân sách cấp tỉnh</t>
  </si>
  <si>
    <t>Vay để trả nợ gốc</t>
  </si>
  <si>
    <t>Thu NSĐP</t>
  </si>
  <si>
    <t>Thuế bảo vệ môi trường</t>
  </si>
  <si>
    <t>Thuế BVMT thu từ hàng hóa sản xuất, kinh doanh trong nước</t>
  </si>
  <si>
    <t>Lệ phí trước bạ</t>
  </si>
  <si>
    <t>Phí và lệ phí trung ương</t>
  </si>
  <si>
    <t>Phí và lệ phí tỉnh</t>
  </si>
  <si>
    <t>Phí và lệ phí huyện</t>
  </si>
  <si>
    <t>Thuế sử dụng đất phi nông nghiệp</t>
  </si>
  <si>
    <t>Thu từ hoạt động xổ số kiến thiết</t>
  </si>
  <si>
    <t>Thu từ quỹ đất công ích, hoa lợi công sản khác</t>
  </si>
  <si>
    <t>Thuế xuất khẩu</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</si>
  <si>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</si>
  <si>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</si>
  <si>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</si>
  <si>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Thu tiền sử dụng đất</t>
  </si>
  <si>
    <t>Tiền cho thuê và tiền bán nhà ở thuộc sở hữu nhà nước</t>
  </si>
  <si>
    <t>Trong đó: Chia theo lĩnh vực</t>
  </si>
  <si>
    <t>Chi khoa học và công nghệ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</si>
  <si>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</si>
  <si>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</si>
  <si>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</si>
  <si>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Biểu mẫu số 18</t>
  </si>
  <si>
    <t>HẠN MỨC DƯ NỢ VAY TỐI ĐA CỦA NSĐP THEO QUY ĐỊNH</t>
  </si>
  <si>
    <t>KẾ HOẠCH VAY, TRẢ NỢ GỐC</t>
  </si>
  <si>
    <t>Tổng dư nợ đầu năm</t>
  </si>
  <si>
    <t>Tỷ lệ mức dư nợ đầu kỳ so với mức dư nợ vay tối đa của ngân sách địa phương (%)</t>
  </si>
  <si>
    <t>Trái phiếu chính quyền địa phương</t>
  </si>
  <si>
    <t>Vay lại từ nguồn Chính phủ vay ngoài nước</t>
  </si>
  <si>
    <t>Vay trong nước khác</t>
  </si>
  <si>
    <t>Trả nợ gốc vay trong năm</t>
  </si>
  <si>
    <t>Theo nguồn vốn vay</t>
  </si>
  <si>
    <t>Theo nguồn trả nợ</t>
  </si>
  <si>
    <t>Từ nguồn vay để trả nợ gốc</t>
  </si>
  <si>
    <t>Bội thu NSĐP</t>
  </si>
  <si>
    <t>Tăng thu, tiết kiệm chi</t>
  </si>
  <si>
    <t>Kết dư ngân sách cấp tỉnh</t>
  </si>
  <si>
    <t>Tổng mức vay trong năm</t>
  </si>
  <si>
    <t>Theo mục đích vay</t>
  </si>
  <si>
    <t>Theo nguồn vay</t>
  </si>
  <si>
    <t>Vốn trong nước khác</t>
  </si>
  <si>
    <t>Tổng dư nợ cuối năm</t>
  </si>
  <si>
    <t>Tỷ lệ mức dư nợ cuối kỳ so với mức dư nợ vay tối đa của ngân sách địa phương (%)</t>
  </si>
  <si>
    <t>Vốn khác</t>
  </si>
  <si>
    <t>TRẢ NỢ LÃI, PHÍ</t>
  </si>
  <si>
    <t>Vay lại từ nguồn Chính phủ vay ngoài nước</t>
  </si>
  <si>
    <t>Biểu mẫu số 19</t>
  </si>
  <si>
    <t>(Dùng cho ngân sách tỉnh, huyện)</t>
  </si>
  <si>
    <t>NGÂN SÁCH CẤP TỈNH (HUYỆN)</t>
  </si>
  <si>
    <t>Thu từ quỹ dự trữ tài chính (1)</t>
  </si>
  <si>
    <t>Chi thuộc nhiệm vụ của ngân sách cấp tỉnh (huyện)</t>
  </si>
  <si>
    <t>NGÂN SÁCH HUYỆN (XÃ)</t>
  </si>
  <si>
    <t>Chi thuộc nhiệm vụ của ngân sách cấp huyện (xã)</t>
  </si>
  <si>
    <t>(2) Ngân sách xã không có nhiệm vụ chi bổ sung cho ngân sách cấp dưới.</t>
  </si>
  <si>
    <t> (1) Theo quy định tại Điều 7, Điều 11 Luật NSNN, ngân sách huyện không có thu từ quỹ dự trữ tài chính, bội chi NSĐP.</t>
  </si>
  <si>
    <t>Biểu mẫu số 20</t>
  </si>
  <si>
    <t>Tên đơn vị (1)</t>
  </si>
  <si>
    <t>Bao gồm</t>
  </si>
  <si>
    <t>9=5/1</t>
  </si>
  <si>
    <t>10=6/2</t>
  </si>
  <si>
    <t>11=7/3</t>
  </si>
  <si>
    <t>12=8/4</t>
  </si>
  <si>
    <t>TỔNG SỐ (2)</t>
  </si>
  <si>
    <t>………</t>
  </si>
  <si>
    <t>(2) Thu NSNN trên địa bàn huyện, xã không có thu từ dầu thô, thu từ hoạt động xuất, nhập khẩu. Các chỉ tiêu cột 3, 4, 7, 8 chỉ ghi dòng tổng số.</t>
  </si>
  <si>
    <r>
      <t>Ghi chú:</t>
    </r>
    <r>
      <rPr>
        <sz val="11"/>
        <rFont val="Times New Roman"/>
        <family val="1"/>
      </rPr>
      <t/>
    </r>
  </si>
  <si>
    <t> (1) Thu ngân sách nhà nước trên địa bàn tỉnh chi tiết đến từng huyện; thu ngân sách nhà nước trên địa bàn huyện chi tiết đến từng xã.</t>
  </si>
  <si>
    <t>Biểu mẫu số 21</t>
  </si>
  <si>
    <t>Tổng thu NSNN trên địa bàn</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</si>
  <si>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</si>
  <si>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</si>
  <si>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</si>
  <si>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</si>
  <si>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</si>
  <si>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</si>
  <si>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</si>
  <si>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</si>
  <si>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r>
      <t>Ghi chú: </t>
    </r>
    <r>
      <rPr>
        <i/>
        <sz val="11"/>
        <rFont val="Times New Roman"/>
        <family val="1"/>
      </rPr>
      <t>(1) Thu ngân sách nhà nước trên địa bàn tỉnh chi tiết đến từng huyện; thu ngân sách nhà nước trên địa bàn huyện chi tiết đến từng xã.</t>
    </r>
  </si>
  <si>
    <t>I- Thu nội địa (2)</t>
  </si>
  <si>
    <t>II- Thu từ dầu thô (3)</t>
  </si>
  <si>
    <t>III- Thu từ hoạt động xuất nhập khẩu (3)</t>
  </si>
  <si>
    <t>Biểu mẫu số 22</t>
  </si>
  <si>
    <t>Ngân sách địa phương</t>
  </si>
  <si>
    <t>1=2+3</t>
  </si>
  <si>
    <t>4=5+6</t>
  </si>
  <si>
    <t>7=4/1</t>
  </si>
  <si>
    <t>8=5/2</t>
  </si>
  <si>
    <t>9=6/3</t>
  </si>
  <si>
    <t>Chi đầu tư từ nguồn thu xổ số kiến thiết</t>
  </si>
  <si>
    <r>
      <t xml:space="preserve">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</si>
  <si>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Biểu mẫu số 23</t>
  </si>
  <si>
    <t>CHI BỔ SUNG CÂN ĐỐI CHO NGÂN SÁCH CẤP DƯỚI (1)</t>
  </si>
  <si>
    <t>CHI NGÂN SÁCH CẤP TỈNH (HUYỆN, XÃ) THEO LĨNH VỰC</t>
  </si>
  <si>
    <t xml:space="preserve">Chi đầu tư phát triển </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</si>
  <si>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</si>
  <si>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</si>
  <si>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</si>
  <si>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</si>
  <si>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</si>
  <si>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</si>
  <si>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</si>
  <si>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</si>
  <si>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</si>
  <si>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</si>
  <si>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</si>
  <si>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</si>
  <si>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(2) Theo quy định tại Điều 7, Điều 11 và Điều 39 Luật NSNN, ngân sách huyện, xã không có nhiệm vụ chi nghiên cứu khoa học và công nghệ, chi trả lãi vay, chi bổ sung quỹ dự trữ tài chính.</t>
  </si>
  <si>
    <t>(1) Ngân sách xã không có nhiệm vụ chi bổ sung cân đối cho ngân sách cấp dưới.</t>
  </si>
  <si>
    <t>Biểu mẫu số 24</t>
  </si>
  <si>
    <t>Chi trả nợ lãi do chính quyền địa phương vay (1)</t>
  </si>
  <si>
    <t>Chi bổ sung quỹ dự trữ tài chính (1)</t>
  </si>
  <si>
    <t>Chi chương trình MTQG</t>
  </si>
  <si>
    <t>Chi chuyển nguồn sang ngân sách năm sau</t>
  </si>
  <si>
    <t>CÁC CƠ QUAN, TỔ CHỨC</t>
  </si>
  <si>
    <t>………..</t>
  </si>
  <si>
    <t>CHI CHUYỂN NGUỒN SANG NGÂN SÁCH NĂM SAU</t>
  </si>
  <si>
    <t>(2) Ngân sách xã không có nhiệm vụ chi bổ sung có mục tiêu cho ngân sách cấp dưới.</t>
  </si>
  <si>
    <t xml:space="preserve">Ghi chú: </t>
  </si>
  <si>
    <t>(1) Theo quy định tại Điều 7, Điều 11 Luật NSNN, ngân sách huyện, xã không có nhiệm vụ chi trả lãi vay, chi bổ sung quỹ dự trữ tài chính.</t>
  </si>
  <si>
    <t>Biểu mẫu số 25</t>
  </si>
  <si>
    <t>Chi giao thông</t>
  </si>
  <si>
    <t>Chi nông nghiệp, lâm nghiệp, thủy lợi, thủy sản</t>
  </si>
  <si>
    <t>……</t>
  </si>
  <si>
    <t>Biểu mẫu số 26</t>
  </si>
  <si>
    <t>Biểu mẫu số 27</t>
  </si>
  <si>
    <t>Đơn vị: triệu đồng</t>
  </si>
  <si>
    <t>Chi đầu tư từ nguồn vốn trong nước</t>
  </si>
  <si>
    <t>Chi đầu tư từ nguồn thu XSKT (nếu có)</t>
  </si>
  <si>
    <t>Chi giáo dục, đào tạo và dạy nghề</t>
  </si>
  <si>
    <t>Thành phố C</t>
  </si>
  <si>
    <t>……..</t>
  </si>
  <si>
    <t>Thị trấn C</t>
  </si>
  <si>
    <t>(2) Theo quy định tại Điều 39 Luật NSNN, ngân sách huyện, xã không có nhiệm vụ chi nghiên cứu khoa học và công nghệ.</t>
  </si>
  <si>
    <t>(1) Chi ngân sách tỉnh chi tiết đến từng huyện; chi ngân sách huyện chi tiết đến từng xã</t>
  </si>
  <si>
    <t>Biểu mẫu số 28</t>
  </si>
  <si>
    <t>Tên quỹ</t>
  </si>
  <si>
    <t>Kế hoạch năm...</t>
  </si>
  <si>
    <t>Tổng nguồn vốn phát sinh trong năm</t>
  </si>
  <si>
    <t>Tổng sử dụng nguồn vốn trong năm</t>
  </si>
  <si>
    <t>Chênh lệch nguồn trong năm</t>
  </si>
  <si>
    <r>
      <t xml:space="preserve">Trong đó: Hỗ trợ từ NSĐP </t>
    </r>
    <r>
      <rPr>
        <sz val="12"/>
        <color rgb="FF000000"/>
        <rFont val="Times New Roman"/>
        <family val="1"/>
      </rPr>
      <t>(nếu có)</t>
    </r>
  </si>
  <si>
    <t>5=1+2-4</t>
  </si>
  <si>
    <t>9=6-8</t>
  </si>
  <si>
    <t>10= 1+6-8</t>
  </si>
  <si>
    <t>Quỹ A</t>
  </si>
  <si>
    <t>Quỹ B</t>
  </si>
  <si>
    <t>Quỹ C</t>
  </si>
  <si>
    <t>Biểu mẫu số 29</t>
  </si>
  <si>
    <t>(KHÔNG BAO GỒM NGUỒN NSNN)</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</si>
  <si>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</si>
  <si>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</si>
  <si>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</si>
  <si>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</si>
  <si>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</si>
  <si>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</si>
  <si>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</si>
  <si>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</si>
  <si>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 xml:space="preserve">Nguồn thu ngân sách </t>
  </si>
  <si>
    <t>Bội chi NSĐP/Bội thu NSĐP (1)</t>
  </si>
  <si>
    <t xml:space="preserve">Chi ngân sách </t>
  </si>
  <si>
    <t>Chi bổ sung cho ngân sách cấp dưới (2)</t>
  </si>
  <si>
    <t>(2) Ngân sách xã không có nhiệm vụ chi bổ sung cho ngân sách cấp dưới.</t>
  </si>
  <si>
    <r>
      <t>Ghi chú:</t>
    </r>
    <r>
      <rPr>
        <i/>
        <sz val="12"/>
        <color rgb="FF000000"/>
        <rFont val="Times New Roman"/>
        <family val="1"/>
      </rPr>
      <t xml:space="preserve"> </t>
    </r>
  </si>
  <si>
    <t>Biểu mẫu số 31</t>
  </si>
  <si>
    <t>….</t>
  </si>
  <si>
    <t>(1) Thu ngân sách nhà nước trên địa bàn tỉnh chi tiết đến từng huyện; thu ngân sách nhà nước trên địa bàn huyện chi tiết đến từng xã.</t>
  </si>
  <si>
    <t>Biểu mẫu số 32</t>
  </si>
  <si>
    <t>Biểu mẫu số 33</t>
  </si>
  <si>
    <t xml:space="preserve">Chi đầu tư phát triển (1) </t>
  </si>
  <si>
    <t xml:space="preserve">Chi khoa học và công nghệ </t>
  </si>
  <si>
    <t xml:space="preserve">Chi các chương trình mục tiêu, nhiệm vụ </t>
  </si>
  <si>
    <t>Dự toán</t>
  </si>
  <si>
    <t>Chi đầu tư và hỗ trợ vốn cho các doanh nghiệp cung cấp sản phẩm, dịch vụ công ích do Nhà nước đặt hàng, các tổ chức kinh tế,</t>
  </si>
  <si>
    <t>Chi khoa học và công nghệ (3)</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</si>
  <si>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</si>
  <si>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</si>
  <si>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dự phòng ngân sách</t>
  </si>
  <si>
    <t>CHI DỰ PHÒNG NGÂN SÁCH</t>
  </si>
  <si>
    <t>CHI TẠO NGUỒN, ĐIỀU CHỈNH TIỀN LƯƠNG</t>
  </si>
  <si>
    <t>VII</t>
  </si>
  <si>
    <t>(2) Ngân sách xã không có nhiệm vụ chi bổ sung cân đối cho ngân sách cấp.</t>
  </si>
  <si>
    <t>Biểu mẫu số 36</t>
  </si>
  <si>
    <t>Biểu mẫu số 38</t>
  </si>
  <si>
    <t>Biểu mẫu số 40</t>
  </si>
  <si>
    <t>Biểu mẫu số 41</t>
  </si>
  <si>
    <t>Biểu mẫu số 42</t>
  </si>
  <si>
    <t>Biểu mẫu số 43</t>
  </si>
  <si>
    <t>Biểu mẫu số 44</t>
  </si>
  <si>
    <t>Biểu mẫu số 45</t>
  </si>
  <si>
    <t>Biểu mẫu số 46</t>
  </si>
  <si>
    <t>Biểu mẫu số 47</t>
  </si>
  <si>
    <t>Biểu mẫu số 48</t>
  </si>
  <si>
    <t>Biểu mẫu số 49</t>
  </si>
  <si>
    <t>Biểu mẫu số 50</t>
  </si>
  <si>
    <t>Biểu mẫu số 51</t>
  </si>
  <si>
    <t>Biểu mẫu số 52</t>
  </si>
  <si>
    <t>Biểu mẫu số 53</t>
  </si>
  <si>
    <t>Biểu mẫu số 54</t>
  </si>
  <si>
    <t>Đầu tư phát triển</t>
  </si>
  <si>
    <t>Kinh phí sự nghiệp</t>
  </si>
  <si>
    <t>Vốn ngoài nước</t>
  </si>
  <si>
    <t>2=5+12</t>
  </si>
  <si>
    <t>3=8+15</t>
  </si>
  <si>
    <t>4=5+8</t>
  </si>
  <si>
    <t>5=6+7</t>
  </si>
  <si>
    <t>8=9+10</t>
  </si>
  <si>
    <t>11=12+15</t>
  </si>
  <si>
    <t>12=13+14</t>
  </si>
  <si>
    <t>15=16+17</t>
  </si>
  <si>
    <t>Ngân sách cấp tỉnh (huyện, xã)</t>
  </si>
  <si>
    <t>……………</t>
  </si>
  <si>
    <r>
      <t xml:space="preserve">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</si>
  <si>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Chia ra</t>
  </si>
  <si>
    <t>Số bổ sung cân đối từ ngân sách cấp trên</t>
  </si>
  <si>
    <t>Số bổ sung thực hiện cải cách tiền lương</t>
  </si>
  <si>
    <t>(Dùng cho ngân sách tỉnh - năm đầu thời kỳ ổn định ngân sách)</t>
  </si>
  <si>
    <t>Đơn vị: %</t>
  </si>
  <si>
    <t>Chi tiết theo sắc thuế</t>
  </si>
  <si>
    <t>Thuế giá trị gia tăng</t>
  </si>
  <si>
    <t>Thuế thu nhập doanh nghiệp</t>
  </si>
  <si>
    <t>Tổng chi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</si>
  <si>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</si>
  <si>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</si>
  <si>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</si>
  <si>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</si>
  <si>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</si>
  <si>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1=2+15 +19</t>
  </si>
  <si>
    <t>2=3+9+ 12+13+14</t>
  </si>
  <si>
    <t>3=6+7+8</t>
  </si>
  <si>
    <t>15=16+ 17+18</t>
  </si>
  <si>
    <t>(2) Theo quy định tại Điều 7, Điều 11 và Điều 39 Luật NSNN, ngân sách huyện, xã không có nhiệm vụ chi nghiên cứu khoa học và công nghệ.</t>
  </si>
  <si>
    <t>(1) Chi ngân sách tỉnh chi tiết đến từng huyện; chi ngân sách huyện chi tiết đến từng xã.</t>
  </si>
  <si>
    <t>Bổ sung vốn sự nghiệp thực hiện các chế độ, chính sách, nhiệm vụ</t>
  </si>
  <si>
    <t>1=2+3+4</t>
  </si>
  <si>
    <t>Chương trình...</t>
  </si>
  <si>
    <t>7=8+9</t>
  </si>
  <si>
    <r>
      <t>Ghi chú:</t>
    </r>
    <r>
      <rPr>
        <i/>
        <sz val="12"/>
        <color rgb="FF000000"/>
        <rFont val="Times New Roman"/>
        <family val="1"/>
      </rPr>
      <t xml:space="preserve"> (1) Chi bổ sung có mục tiêu từ ngân sách tỉnh chi tiết đến từng huyện; chi bổ sung có mục tiêu từ ngân sách huyện chi tiết đến từng xã.</t>
    </r>
  </si>
  <si>
    <t>Chính sách ….</t>
  </si>
  <si>
    <r>
      <t xml:space="preserve">Ghi chú: </t>
    </r>
    <r>
      <rPr>
        <i/>
        <sz val="12"/>
        <color rgb="FF000000"/>
        <rFont val="Times New Roman"/>
        <family val="1"/>
      </rPr>
      <t>(1) Chi bổ sung có mục tiêu từ ngân sách tỉnh chi tiết đến từng huyện; Chi bổ sung có mục tiêu từ ngân sách huyện chi tiết đến từng xã.</t>
    </r>
  </si>
  <si>
    <t>Trong đó: Hỗ trợ từ NSĐP (nếu có)</t>
  </si>
  <si>
    <t>5=2-4</t>
  </si>
  <si>
    <t>6=1+2-4</t>
  </si>
  <si>
    <t>10=7-9</t>
  </si>
  <si>
    <t>11=6+7-9</t>
  </si>
  <si>
    <t>Giá trị khối lượng thực hiện từ khởi công đến 31/12/…</t>
  </si>
  <si>
    <t>Lũy kế vốn đã bố trí đến 31/12/….</t>
  </si>
  <si>
    <t>Tổng mức đầu tư được duyệt</t>
  </si>
  <si>
    <t>Chia theo nguồn vốn</t>
  </si>
  <si>
    <t>Ngoài nước</t>
  </si>
  <si>
    <t>QUYẾT TOÁN CÂN ĐỐI NGÂN SÁCH ĐỊA PHƯƠNG NĂM...</t>
  </si>
  <si>
    <t>Quyết toán</t>
  </si>
  <si>
    <t xml:space="preserve">Thu bổ sung từ ngân sách cấp trên </t>
  </si>
  <si>
    <t xml:space="preserve">Tổng chi cân đối NSĐP </t>
  </si>
  <si>
    <t>BỘI CHI NSĐP/BỘI THU NSĐP/KẾT DƯ NSĐP</t>
  </si>
  <si>
    <t>CHI TRẢ NỢ GỐC CỦA NSĐP</t>
  </si>
  <si>
    <t>TỔNG MỨC DƯ NỢ VAY CUỐI NĂM CỦA NSĐP</t>
  </si>
  <si>
    <r>
      <t xml:space="preserve">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</si>
  <si>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t>QUYẾT TOÁN CÂN ĐỐI NGUỒN THU, CHI NGÂN SÁCH CẤP TỈNH (HUYỆN) VÀ NGÂN SÁCH HUYỆN (XÃ) NĂM...</t>
  </si>
  <si>
    <t>Bổ sung cân đối ngân sách</t>
  </si>
  <si>
    <t>Bổ sung có mục tiêu</t>
  </si>
  <si>
    <t>Chi trả nợ gốc từ nguồn bội thu, tăng thu, tiết kiệm, kết dư ngân sách cấp tỉnh (1)</t>
  </si>
  <si>
    <t>Bội chi NSĐP/Kết dư NSĐP (1)</t>
  </si>
  <si>
    <t>Kết dư</t>
  </si>
  <si>
    <t>(1) Theo quy định tại Điều 7, Điều 11 Luật NSNN, ngân sách huyện không có thu từ quỹ dự trữ tài chính, chi trả nợ gốc và bội chi NSĐP.</t>
  </si>
  <si>
    <t>QUYẾT TOÁN NGUỒN THU NGÂN SÁCH NHÀ NƯỚC TRÊN ĐỊA BÀN THEO LĨNH VỰC NĂM...</t>
  </si>
  <si>
    <t>TỔNG NGUỒN THU NSNN (A+B+C+D)</t>
  </si>
  <si>
    <t>TỔNG THU CÂN ĐỐI NSNN</t>
  </si>
  <si>
    <t>Thu từ khu vực DNNN do địa phương quản lý (2)</t>
  </si>
  <si>
    <t>Thuế BVMT thu từ hàng hóa sản xuất, kinh doanh trong nước</t>
  </si>
  <si>
    <t xml:space="preserve">Thu phí, lệ phí </t>
  </si>
  <si>
    <t>Phí và lệ phí xã, phường</t>
  </si>
  <si>
    <t>Tiền cho thuê và tiền bán nhà ở thuộc sở hữu nhà nước</t>
  </si>
  <si>
    <t>Lợi nhuận được chia của Nhà nước và lợi nhuận sau thuế còn lại sau khi trích lập các quỹ của doanh nghiệp nhà nước (5)</t>
  </si>
  <si>
    <t xml:space="preserve">Thu từ hoạt động xuất nhập khẩu </t>
  </si>
  <si>
    <t>Thuế tiêu thụ đặc biệt thu từ hàng hóa nhập khẩu</t>
  </si>
  <si>
    <t>Thuế bảo vệ môi trường thu từ hàng hóa nhập khẩu</t>
  </si>
  <si>
    <t>Thuế giá trị gia tăng thu từ hàng hóa nhập khẩu</t>
  </si>
  <si>
    <t>THU TỪ QUỸ DỰ TRỮ TÀI CHÍNH</t>
  </si>
  <si>
    <t>THU KẾT DƯ NĂM TRƯỚC</t>
  </si>
  <si>
    <t>THU CHUYỂN NGUỒN TỪ NĂM TRƯỚC CHUYỂN SANG</t>
  </si>
  <si>
    <t>QUYẾT TOÁN CHI NGÂN SÁCH ĐỊA PHƯƠNG THEO LĨNH VỰC NĂM...</t>
  </si>
  <si>
    <t>TỔNG CHI NGÂN SÁCH ĐỊA PHƯƠNG</t>
  </si>
  <si>
    <t>CHI CÂN ĐỐI NGÂN SÁCH ĐỊA PHƯƠNG</t>
  </si>
  <si>
    <t xml:space="preserve">Chi đầu tư cho các dự án </t>
  </si>
  <si>
    <t>QUYẾT TOÁN CHI NGÂN SÁCH CẤP TỈNH (HUYỆN, XÃ) THEO LĨNH VỰC NĂM...</t>
  </si>
  <si>
    <t>QUYẾT TOÁN CHI NGÂN SÁCH ĐỊA PHƯƠNG, CHI NGÂN SÁCH CẤP TỈNH (HUYỆN) VÀ CHI NGÂN SÁCH HUYỆN (XÃ) THEO CƠ CẤU CHI NĂM...</t>
  </si>
  <si>
    <t>QUYẾT TOÁN CHI NGÂN SÁCH CẤP TỈNH (HUYỆN, XÃ) CHO TỪNG CƠ QUAN, TỔ CHỨC THEO LĨNH VỰC NĂM...</t>
  </si>
  <si>
    <t>Dự toán (1)</t>
  </si>
  <si>
    <r>
      <t xml:space="preserve">Chi đầu tư phát triển </t>
    </r>
    <r>
      <rPr>
        <sz val="12"/>
        <rFont val="Times New Roman"/>
        <family val="1"/>
      </rPr>
      <t>(Không kể chương trình MTQG)</t>
    </r>
  </si>
  <si>
    <r>
      <t xml:space="preserve">Chi thường xuyên </t>
    </r>
    <r>
      <rPr>
        <sz val="12"/>
        <rFont val="Times New Roman"/>
        <family val="1"/>
      </rPr>
      <t>(Không kể chương trình MTQG)</t>
    </r>
  </si>
  <si>
    <t>Chi trả nợ lãi do chính quyền địa phương vay (2)</t>
  </si>
  <si>
    <t>CHI TRẢ NỢ LÃI CÁC KHOẢN DO CHÍNH QUYỀN ĐỊA PHƯƠNG VAY (2)</t>
  </si>
  <si>
    <t>CHI BỔ SUNG QUỸ DỰ TRỮ TÀI CHÍNH (2)</t>
  </si>
  <si>
    <t>CHI BỔ SUNG CÓ MỤC TIÊU CHO NGÂN SÁCH CẤP DƯỚI (3)</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</si>
  <si>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</si>
  <si>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</si>
  <si>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(1) Dự toán chi ngân sách địa phương chi tiết theo các chỉ tiêu tương ứng phần quyết toán chi ngân sách địa phương.</t>
  </si>
  <si>
    <t>Biểu mẫu số 55</t>
  </si>
  <si>
    <t>QUYẾT TOÁN CHI ĐẦU TƯ PHÁT TRIỂN CỦA NGÂN SÁCH CẤP TỈNH (HUYỆN, XÃ) CHO TỪNG CƠ QUAN, TỔ CHỨC THEO LĨNH VỰC NĂM...</t>
  </si>
  <si>
    <t>18=2/1</t>
  </si>
  <si>
    <t>Doanh nghiệp C</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</si>
  <si>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</si>
  <si>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</si>
  <si>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</si>
  <si>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</si>
  <si>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</si>
  <si>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</si>
  <si>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</si>
  <si>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</si>
  <si>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</si>
  <si>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r>
      <t xml:space="preserve">Bổ sung trong năm </t>
    </r>
    <r>
      <rPr>
        <sz val="12"/>
        <color rgb="FF000000"/>
        <rFont val="Times New Roman"/>
        <family val="1"/>
      </rPr>
      <t>(nếu có)</t>
    </r>
  </si>
  <si>
    <r>
      <t xml:space="preserve">Giảm trừ trong năm </t>
    </r>
    <r>
      <rPr>
        <sz val="12"/>
        <color rgb="FF000000"/>
        <rFont val="Times New Roman"/>
        <family val="1"/>
      </rPr>
      <t>(nếu có)</t>
    </r>
  </si>
  <si>
    <t>Chuyển nguồn năm sau</t>
  </si>
  <si>
    <t>Hủy bỏ</t>
  </si>
  <si>
    <t>1=2+3-4</t>
  </si>
  <si>
    <t>6=1-5</t>
  </si>
  <si>
    <t>Biểu mẫu số 58</t>
  </si>
  <si>
    <t>QUYẾT TOÁN CHI NGÂN SÁCH ĐỊA PHƯƠNG TỪNG HUYỆN (XÃ) NĂM...</t>
  </si>
  <si>
    <t>Dự toán (2)</t>
  </si>
  <si>
    <t>Chi CTMTQG</t>
  </si>
  <si>
    <t>Chi giáo dục đào tạo dạy nghề</t>
  </si>
  <si>
    <t>15= 4/1</t>
  </si>
  <si>
    <t>16= 5/2</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</si>
  <si>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</si>
  <si>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</si>
  <si>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(1) Theo quy định tại Điều 7, Điều 39 Luật NSNN, ngân sách huyện, xã không có nhiệm vụ chi nghiên cứu khoa học và công nghệ.</t>
  </si>
  <si>
    <t>Biểu mẫu số 59</t>
  </si>
  <si>
    <t>QUYẾT TOÁN CHI BỔ SUNG TỪ NGÂN SÁCH CẤP TỈNH (HUYỆN) CHO NGÂN SÁCH TỪNG HUYỆN (XÃ) NĂM...</t>
  </si>
  <si>
    <t>So sách (%)</t>
  </si>
  <si>
    <t>Gồm</t>
  </si>
  <si>
    <t>Vốn đầu tư để thực hiện các CTMT, nhiệm vụ</t>
  </si>
  <si>
    <t>Vốn sự nghiệp thực hiện các chế độ, chính sách</t>
  </si>
  <si>
    <t>Vốn thực hiện các CTMT quốc gia</t>
  </si>
  <si>
    <t>3=4+5</t>
  </si>
  <si>
    <t>11=12+13</t>
  </si>
  <si>
    <t>17=9/1</t>
  </si>
  <si>
    <t>18=10/2</t>
  </si>
  <si>
    <t>19=11/3</t>
  </si>
  <si>
    <t>20=12/4</t>
  </si>
  <si>
    <t>21=13/5</t>
  </si>
  <si>
    <t>22=14/6</t>
  </si>
  <si>
    <t>23=15/7</t>
  </si>
  <si>
    <t>24=16/8</t>
  </si>
  <si>
    <r>
      <t xml:space="preserve">Ghi chú: </t>
    </r>
    <r>
      <rPr>
        <i/>
        <sz val="12"/>
        <color rgb="FF000000"/>
        <rFont val="Times New Roman"/>
        <family val="1"/>
      </rPr>
      <t>(1) Bổ sung từ ngân sách tỉnh chi tiết đến từng huyện; bổ sung từ ngân sách huyện chi tiết đến từng xã.</t>
    </r>
  </si>
  <si>
    <t>Biểu mẫu số 60</t>
  </si>
  <si>
    <t>QUYẾT TOÁN THU NGÂN SÁCH HUYỆN (XÃ) NĂM...</t>
  </si>
  <si>
    <t>Tổng thu NSĐP</t>
  </si>
  <si>
    <t>Thu NSĐP hưởng theo phân cấp</t>
  </si>
  <si>
    <t>Thu từ kết dư năm trước</t>
  </si>
  <si>
    <t>Biểu mẫu số 61</t>
  </si>
  <si>
    <t>QUYẾT TOÁN CHI CHƯƠNG TRÌNH MỤC TIÊU QUỐC GIA NĂM...</t>
  </si>
  <si>
    <t>Chương trình mục tiêu quốc gia ….</t>
  </si>
  <si>
    <t>16=5/1</t>
  </si>
  <si>
    <t>17=6/2</t>
  </si>
  <si>
    <t>18=7/3</t>
  </si>
  <si>
    <t>19=8/4</t>
  </si>
  <si>
    <t>Biểu mẫu số 62</t>
  </si>
  <si>
    <t>QUYẾT TOÁN VỐN ĐẦU TƯ CÁC CHƯƠNG TRÌNH, DỰ ÁN SỬ DỤNG VỐN NGÂN SÁCH NHÀ NƯỚC NĂM...</t>
  </si>
  <si>
    <t>DỰ TOÁN</t>
  </si>
  <si>
    <t>QUYẾT TOÁN</t>
  </si>
  <si>
    <t>25=21/17</t>
  </si>
  <si>
    <t>26=22/18</t>
  </si>
  <si>
    <t>27=23/19</t>
  </si>
  <si>
    <t>28=24/20</t>
  </si>
  <si>
    <t>Biểu mẫu số 63</t>
  </si>
  <si>
    <t>TỔNG HỢP CÁC QUỸ TÀI CHÍNH NHÀ NƯỚC NGOÀI NGÂN SÁCH DO ĐỊA PHƯƠNG QUẢN LÝ NĂM...</t>
  </si>
  <si>
    <t>Tên Quỹ</t>
  </si>
  <si>
    <r>
      <t xml:space="preserve">Dư nguồn đến ngày 31/12/ … </t>
    </r>
    <r>
      <rPr>
        <sz val="12"/>
        <color rgb="FF000000"/>
        <rFont val="Times New Roman"/>
        <family val="1"/>
      </rPr>
      <t>(năm trước)</t>
    </r>
  </si>
  <si>
    <t>Thực hiện năm...</t>
  </si>
  <si>
    <t xml:space="preserve">Dư nguồn đến 31/12/ … </t>
  </si>
  <si>
    <t>10=1+6-8</t>
  </si>
  <si>
    <t>Biểu mẫu số 64</t>
  </si>
  <si>
    <t>TỔNG HỢP THU DỊCH VỤ CỦA ĐƠN VỊ SỰ NGHIỆP CÔNG NĂM...</t>
  </si>
  <si>
    <t>(KHÔNG BAO GỒM NGUỒN NGÂN SÁCH NHÀ NƯỚC)</t>
  </si>
  <si>
    <t>Từ nguồn vay để trả nợ gốc</t>
  </si>
  <si>
    <t>DỰ KIẾN CÂN ĐỐI NGÂN SÁCH ĐỊA PHƯƠNG GIAI ĐOẠN 03 NĂM 2018-2020</t>
  </si>
  <si>
    <t>Dự toán năm 2017</t>
  </si>
  <si>
    <t>Ước thực hiện năm 2017</t>
  </si>
  <si>
    <t>Dự toán ngân sách năm 2018</t>
  </si>
  <si>
    <t>Dự kiến ngân sách năm 2019</t>
  </si>
  <si>
    <t>Dự kiến ngân sách năm 2020</t>
  </si>
  <si>
    <t>DỰ KIẾN THU NGÂN SÁCH NHÀ NƯỚC THEO LĨNH VỰC GIAI ĐOẠN 03 NĂM 2018-2020</t>
  </si>
  <si>
    <t>Ước thựchiện năm 2017</t>
  </si>
  <si>
    <t>Dự kiến ngân sách năm 2019</t>
  </si>
  <si>
    <t>Dự kiến ngân sách năm 2020</t>
  </si>
  <si>
    <t>Dự toán năm 2017</t>
  </si>
  <si>
    <t>Ước thực hiện năm 2017</t>
  </si>
  <si>
    <t>DỰ KIẾN CÂN ĐỐI NGUỒN THU, CHI NGÂN SÁCH CẤP TỈNH VÀ NGÂN SÁCH HUYỆN GIAI ĐOẠN 03 NĂM 2018-2020</t>
  </si>
  <si>
    <t>DỰ KIẾN KẾ HOẠCH ĐẦU TƯ VỐN NGÂN SÁCH ĐỊA PHƯƠNG 
GIAI ĐOẠN 03 NĂM 2018-2020</t>
  </si>
  <si>
    <t>Kế hoạch năm 2017</t>
  </si>
  <si>
    <t>ĐÁNH GIÁ CÂN ĐỐI NGÂN SÁCH ĐỊA PHƯƠNG NĂM 2017</t>
  </si>
  <si>
    <t>ĐÁNH GIÁ THỰC HIỆN THU NGÂN SÁCH NHÀ NƯỚC THEO LĨNH VỰC NĂM 2017</t>
  </si>
  <si>
    <t>1.1</t>
  </si>
  <si>
    <t>1.2</t>
  </si>
  <si>
    <t>1.3</t>
  </si>
  <si>
    <t>1.4</t>
  </si>
  <si>
    <t>2.1</t>
  </si>
  <si>
    <t>2.2</t>
  </si>
  <si>
    <t>2.3</t>
  </si>
  <si>
    <t>2.4</t>
  </si>
  <si>
    <t>3.1</t>
  </si>
  <si>
    <t>3.2</t>
  </si>
  <si>
    <t>3.3</t>
  </si>
  <si>
    <t>3.4</t>
  </si>
  <si>
    <t>4.1</t>
  </si>
  <si>
    <t>4.2</t>
  </si>
  <si>
    <t>4.3</t>
  </si>
  <si>
    <t>4.4</t>
  </si>
  <si>
    <t>ĐÁNH GIÁ THỰC HIỆN CHI NGÂN SÁCH ĐỊA PHƯƠNG THEO CƠ CẤU CHI NĂM 2017</t>
  </si>
  <si>
    <t>Dự toán năm 2018</t>
  </si>
  <si>
    <t>CÂN ĐỐI NGÂN SÁCH ĐỊA PHƯƠNG NĂM 2018</t>
  </si>
  <si>
    <t>DỰ TOÁN THU NGÂN SÁCH NHÀ NƯỚC THEO LĨNH VỰC NĂM 2018</t>
  </si>
  <si>
    <t>BỘI CHI VÀ PHƯƠNG ÁN VAY - TRẢ NỢ NGÂN SÁCH ĐỊA PHƯƠNG NĂM 2018</t>
  </si>
  <si>
    <r>
      <t>Ước</t>
    </r>
    <r>
      <rPr>
        <sz val="11"/>
        <rFont val="Times New Roman"/>
        <family val="1"/>
      </rPr>
      <t> </t>
    </r>
    <r>
      <rPr>
        <b/>
        <sz val="11"/>
        <rFont val="Times New Roman"/>
        <family val="1"/>
      </rPr>
      <t>thực hiện năm 2017</t>
    </r>
  </si>
  <si>
    <r>
      <t>Dự</t>
    </r>
    <r>
      <rPr>
        <sz val="11"/>
        <rFont val="Times New Roman"/>
        <family val="1"/>
      </rPr>
      <t> </t>
    </r>
    <r>
      <rPr>
        <b/>
        <sz val="11"/>
        <rFont val="Times New Roman"/>
        <family val="1"/>
      </rPr>
      <t>toán năm 2018</t>
    </r>
  </si>
  <si>
    <t>(Dùng cho ngân sách tỉnh)</t>
  </si>
  <si>
    <t xml:space="preserve">NGÂN SÁCH HUYỆN </t>
  </si>
  <si>
    <t>Chi thuộc nhiệm vụ của ngân sách cấp huyện</t>
  </si>
  <si>
    <t>Chi bổ sung cho ngân sách cấp dưới </t>
  </si>
  <si>
    <t>ĐÁNH GIÁ CÂN ĐỐI NGUỒN THU, CHI NGÂN SÁCH CẤP TỈNH 
VÀ NGÂN SÁCH HUYỆN NĂM 2017</t>
  </si>
  <si>
    <t>Thành phố Tân An</t>
  </si>
  <si>
    <t>ĐÁNH GIÁ THỰC HIỆN THU NGÂN SÁCH NHÀ NƯỚC TRÊN ĐỊA BÀN TỪNG HUYỆN THEO LĨNH VỰC NĂM 2017</t>
  </si>
  <si>
    <t>ĐÁNH GIÁ THỰC HIỆN CHI NGÂN SÁCH ĐỊA PHƯƠNG, CHI NGÂN SÁCH CẤP TỈNH VÀ CHI NGÂN SÁCH HUYỆN THEO CƠ CẤU CHI NĂM 2017</t>
  </si>
  <si>
    <t>Ngân sách cấp tỉnh</t>
  </si>
  <si>
    <t>ĐÁNH GIÁ THỰC HIỆN CHI NGÂN SÁCH CẤP TỈNH THEO LĨNH VỰC NĂM 2017</t>
  </si>
  <si>
    <t>CHI NGÂN SÁCH CẤP TỈNH THEO LĨNH VỰC</t>
  </si>
  <si>
    <t>ĐÁNH GIÁ THỰC HIỆN CHI NGÂN SÁCH CẤP TỈNH TỪNG CƠ QUAN, TỔ CHỨC THEO LĨNH VỰC NĂM 2017</t>
  </si>
  <si>
    <t>ĐÁNH GIÁ THỰC HIỆN CHI ĐẦU TƯ PHÁT TRIỂN CỦA NGÂN SÁCH CẤP TỈNH CHO TỪNG CƠ QUAN, TỔ CHỨC THEO LĨNH VỰC NĂM 2017</t>
  </si>
  <si>
    <t>ĐÁNH GIÁ THỰC HIỆN CHI THƯỜNG XUYÊN CỦA NGÂN SÁCH CẤP TỈNH CHO TỪNG CƠ QUAN, TỔ CHỨC THEO LĨNH VỰC NĂM 2017</t>
  </si>
  <si>
    <t>ĐÁNH GIÁ THỰC HIỆN CHI CÂN ĐỐI NGÂN SÁCH TỪNG HUYỆN NĂM 2017</t>
  </si>
  <si>
    <t>Dự toán chi NSĐP năm 2017</t>
  </si>
  <si>
    <t>Ước thực hiện chi NSĐP năm 2017</t>
  </si>
  <si>
    <t>TÌNH HÌNH THỰC HIỆN KẾ HOẠCH TÀI CHÍNH CÁC QUỸ TÀI CHÍNH NHÀ NƯỚC NGOÀI NGÂN SÁCH DO ĐỊA PHƯƠNG QUẢN LÝ NĂM 2017</t>
  </si>
  <si>
    <t>Số dư nguồn đến 31/12/2017</t>
  </si>
  <si>
    <t>Số dư nguồn đến ngày 31/12/2016</t>
  </si>
  <si>
    <t>DỰ TOÁN THU NGÂN SÁCH NHÀ NƯỚC TRÊN ĐỊA BÀN TỪNG HUYỆN NĂM 2018</t>
  </si>
  <si>
    <t>CÂN ĐỐI NGUỒN THU, CHI DỰ TOÁN NGÂN SÁCH CẤP TỈNH VÀ NGÂN SÁCH HUYỆN NĂM 2018</t>
  </si>
  <si>
    <t>DỰ TOÁN THU NGÂN SÁCH NHÀ NƯỚC TRÊN ĐỊA BÀN TỪNG HUYỆN THEO LĨNH VỰC NĂM 2018</t>
  </si>
  <si>
    <t>DỰ TOÁN CHI NGÂN SÁCH ĐỊA PHƯƠNG, CHI NGÂN SÁCH CẤP TỈNH VÀ CHI NGÂN SÁCH HUYỆN THEO CƠ CẤU CHI NĂM 2018</t>
  </si>
  <si>
    <t>DỰ TOÁN CHI NGÂN SÁCH CẤP TỈNH THEO LĨNH VỰC NĂM 2018</t>
  </si>
  <si>
    <t>DỰ TOÁN CHI NGÂN SÁCH CẤP TỈNH CHO TỪNG CƠ QUAN, TỔ CHỨC THEO LĨNH VỰC NĂM 2018</t>
  </si>
  <si>
    <t>DỰ TOÁN CHI ĐẦU TƯ PHÁT TRIỂN CỦA NGÂN SÁCH CẤP TỈNH CHO TỪNG CƠ QUAN, TỔ CHỨC THEO LĨNH VỰC NĂM 2018</t>
  </si>
  <si>
    <t>DỰ TOÁN CHI THƯỜNG XUYÊN CỦA NGÂN SÁCH CẤP TỈNH CHO TỪNG CƠ QUAN, TỔ CHỨC THEO LĨNH VỰC NĂM 2018</t>
  </si>
  <si>
    <t>DỰ TOÁN CHI CHƯƠNG TRÌNH MỤC TIÊU QUỐC GIA NGÂN SÁCH CẤP TỈNH VÀ NGÂN SÁCH HUYỆN NĂM 2018</t>
  </si>
  <si>
    <t xml:space="preserve">Ngân sách cấp tỉnh </t>
  </si>
  <si>
    <t>TỶ LỆ PHẦN TRĂM (%) PHÂN CHIA CÁC KHOẢN THU GIỮA NGÂN SÁCH CÁC CẤP CHÍNH QUYỀN ĐỊA PHƯƠNG NĂM 2017-2020</t>
  </si>
  <si>
    <t>DỰ TOÁN BỔ SUNG CÓ MỤC TIÊU TỪ NGÂN SÁCH CẤP TỈNH CHO NGÂN SÁCH TỪNG HUYỆN NĂM 2018</t>
  </si>
  <si>
    <t>DỰ TOÁN BỔ SUNG CÓ MỤC TIÊU VỐN ĐẦU TƯ TỪ NGÂN SÁCH CẤP TỈNH CHO NGÂN SÁCH TỪNG HUYỆN ĐỂ THỰC HIỆN CÁC CHƯƠNG TRÌNH MỤC TIÊU NĂM 2018</t>
  </si>
  <si>
    <t>DỰ TOÁN BỔ SUNG CÓ MỤC TIÊU VỐN SỰ NGHIỆP TỪ NGÂN SÁCH CẤP TỈNH CHO NGÂN SÁCH TỪNG HUYỆN</t>
  </si>
  <si>
    <t>ĐỂ THỰC HIỆN CÁC CHẾ ĐỘ, NHIỆM VỤ VÀ CHÍNH SÁCH THEO QUY ĐỊNH NĂM 2018</t>
  </si>
  <si>
    <t>KẾ HOẠCH TÀI CHÍNH CỦA CÁC QUỸ TÀI CHÍNH NHÀ NƯỚC NGOÀI NGÂN SÁCH DO ĐỊA PHƯƠNG QUẢN LÝ NĂM 2018</t>
  </si>
  <si>
    <t>Dư nguồn đến ngày 31/12/2016</t>
  </si>
  <si>
    <t>Số dư nguồn đến ngày 31/12/2017</t>
  </si>
  <si>
    <t>Kế hoạch năm 2018</t>
  </si>
  <si>
    <t>Dự kiến dư nguồn đến ngày 31/12/2018</t>
  </si>
  <si>
    <t>DANH MỤC CÁC CHƯƠNG TRÌNH, DỰ ÁN SỬ DỤNG VỐN NGÂN SÁCH NHÀ NƯỚC NĂM 2018</t>
  </si>
  <si>
    <t>Giá trị khối lượng thực hiện từ khởi công đến 31/12/2017</t>
  </si>
  <si>
    <t>Lũy kế vốn đã bố trí đến 31/12/2017</t>
  </si>
  <si>
    <t>Kế hoạch vốn năm 2018</t>
  </si>
  <si>
    <t>Dự toán năm 2017 - TW giao</t>
  </si>
  <si>
    <t>Dự toán năm 2017-HĐND</t>
  </si>
  <si>
    <t>Vay để bù đắp bội chi</t>
  </si>
  <si>
    <t>Thuế tiêu thụ đặc biệt</t>
  </si>
  <si>
    <t>Thuế tài nguyên</t>
  </si>
  <si>
    <t>3.5</t>
  </si>
  <si>
    <t>3.6</t>
  </si>
  <si>
    <t>Tiền thuê mặt đất, mặt nước</t>
  </si>
  <si>
    <t>4.5</t>
  </si>
  <si>
    <t>Dự toán năm 2017 - HĐND giao</t>
  </si>
  <si>
    <t>Tỷ lệ điều tiết</t>
  </si>
  <si>
    <r>
      <t>Phí và lệ phí</t>
    </r>
    <r>
      <rPr>
        <sz val="11"/>
        <color theme="9" tint="-0.249977111117893"/>
        <rFont val="Times New Roman"/>
        <family val="1"/>
      </rPr>
      <t> </t>
    </r>
    <r>
      <rPr>
        <i/>
        <sz val="11"/>
        <color theme="9" tint="-0.249977111117893"/>
        <rFont val="Times New Roman"/>
        <family val="1"/>
      </rPr>
      <t>tỉnh</t>
    </r>
  </si>
  <si>
    <t>+</t>
  </si>
  <si>
    <t>Phí và lệ phí địa phương</t>
  </si>
  <si>
    <t>Dự toán năm 2017-TW</t>
  </si>
  <si>
    <t>Phân chia</t>
  </si>
  <si>
    <t>Dự toán năm 2017 - HĐND</t>
  </si>
  <si>
    <t>Dự toán năm 2018 - HĐND</t>
  </si>
  <si>
    <t>TỔNG CHI NSĐP</t>
  </si>
  <si>
    <t>Huyện</t>
  </si>
  <si>
    <t>Cấp tỉnh</t>
  </si>
  <si>
    <t>Thu nội địa trừ đất và XSKT</t>
  </si>
  <si>
    <t>Thu NSNN</t>
  </si>
  <si>
    <t>Thu nội địa - TSDĐ, XSKT</t>
  </si>
  <si>
    <t>Chi đầu tư từ nguồn vốn tập trung</t>
  </si>
  <si>
    <t>Chi quốc phòng, an ninh, trật tự, an toàn xã hội</t>
  </si>
  <si>
    <t>Chi phát thanh, truyền hình</t>
  </si>
  <si>
    <t>Chi quản lý nhà nước, Đảng, Đoàn thể</t>
  </si>
  <si>
    <t>Chi khác</t>
  </si>
  <si>
    <t>Chương trình mục tiêu quốc gia giảm nghèo bền vững</t>
  </si>
  <si>
    <t>Chương trình mục tiêu quốc gia xây dựng nông thôn mới</t>
  </si>
  <si>
    <t xml:space="preserve"> - Vốn nước ngoài</t>
  </si>
  <si>
    <t xml:space="preserve"> - Chính sách trợ giúp pháp lý</t>
  </si>
  <si>
    <t xml:space="preserve"> - Vốn chuẩn bị động viên</t>
  </si>
  <si>
    <t xml:space="preserve"> - Phân giới cắm mốc biên giới</t>
  </si>
  <si>
    <t xml:space="preserve"> - Chi giáo dục</t>
  </si>
  <si>
    <t xml:space="preserve"> - Chi đào tạo, dạy nghề</t>
  </si>
  <si>
    <t xml:space="preserve"> - Chi quốc phòng</t>
  </si>
  <si>
    <t xml:space="preserve"> - Chi an ninh, trật tự, an toàn xã hội</t>
  </si>
  <si>
    <t xml:space="preserve"> - Vốn đầu tư</t>
  </si>
  <si>
    <t xml:space="preserve"> - Vốn sự nghiệp</t>
  </si>
  <si>
    <t>Chi từ các nguồn khác</t>
  </si>
  <si>
    <t xml:space="preserve"> + Chi từ nguồn tăng thu</t>
  </si>
  <si>
    <t xml:space="preserve"> + Chi từ nguồn vốn vay bù đắp bội chi</t>
  </si>
  <si>
    <t xml:space="preserve"> + Chi …</t>
  </si>
  <si>
    <t>So sánh (%) DT 2018 với UTH 2017</t>
  </si>
  <si>
    <t>Thu hồi vốn, thu cổ tức (100% NSĐP)</t>
  </si>
  <si>
    <t>Thị xã Kiến Tường</t>
  </si>
  <si>
    <t>Huyện Bến Lức</t>
  </si>
  <si>
    <t>Huyện Thủ Thừa</t>
  </si>
  <si>
    <t>Huyện Tân Trụ</t>
  </si>
  <si>
    <t>Huyện Châu Thành</t>
  </si>
  <si>
    <t>Huyện Đức Hòa</t>
  </si>
  <si>
    <t>Huyện Đức Huệ</t>
  </si>
  <si>
    <t>Huyện Cần Đước</t>
  </si>
  <si>
    <t>Huyện Cần Giuộc</t>
  </si>
  <si>
    <t>Huyện Thạnh Hóa</t>
  </si>
  <si>
    <t>Huyện Tân Thạnh</t>
  </si>
  <si>
    <t>Huyện Mộc Hóa</t>
  </si>
  <si>
    <t>Huyện Vĩnh Hưng</t>
  </si>
  <si>
    <t>Huyện Tân Hưng</t>
  </si>
  <si>
    <t>Thu TSDĐ</t>
  </si>
  <si>
    <t>Thu từ khu vực DNNN do trung ương quản lý</t>
  </si>
  <si>
    <t>Thu từ khu vực DNNN do địa phương quản lý</t>
  </si>
  <si>
    <t>Thu từ doanh nghiệp có vốn đầu tư nước ngoài</t>
  </si>
  <si>
    <t>Thu từ khu vực kinh tế ngoài quốc doanh</t>
  </si>
  <si>
    <t>Tiền thuê  mặt đất, mặt nước</t>
  </si>
  <si>
    <t>Tiền sử dụng đất</t>
  </si>
  <si>
    <t>Tiền cho thuê và tiền bán nhà thuộc sở hữu của nhà nước</t>
  </si>
  <si>
    <t>Thu từ quỹ đất công ích, hoa lợi công sản</t>
  </si>
  <si>
    <t>Phí tỉnh</t>
  </si>
  <si>
    <t>Phí TW</t>
  </si>
  <si>
    <t>Phạt ATGT</t>
  </si>
  <si>
    <t>Phạt thuế</t>
  </si>
  <si>
    <t>NS huyện hưởng</t>
  </si>
  <si>
    <t>NS huyện hưởng trừ TSDĐ</t>
  </si>
  <si>
    <t>Tổng loại trừ</t>
  </si>
  <si>
    <t>TW hưởng</t>
  </si>
  <si>
    <t>Tỉnh hưởng</t>
  </si>
  <si>
    <t>Phí BVMT</t>
  </si>
  <si>
    <t>Thu thầu ngoài tỉnh</t>
  </si>
  <si>
    <t>thầu ngoài tỉnh (30%)</t>
  </si>
  <si>
    <t>huyện hưởng Không CĐ: 4902</t>
  </si>
  <si>
    <t xml:space="preserve"> - Thu phạt VP ATGT</t>
  </si>
  <si>
    <t xml:space="preserve"> - Thu phạt VPHC do cơ quan thuế thực hiện</t>
  </si>
  <si>
    <t xml:space="preserve"> - Thu khác NSĐP</t>
  </si>
  <si>
    <t xml:space="preserve"> + TW cấp giấy phép</t>
  </si>
  <si>
    <t xml:space="preserve"> + ĐP cấp giấy phép</t>
  </si>
  <si>
    <t xml:space="preserve"> - TW cấp giấy phép</t>
  </si>
  <si>
    <t xml:space="preserve"> - ĐP cấp giấy phép</t>
  </si>
  <si>
    <t xml:space="preserve">   + Thu CĐNS</t>
  </si>
  <si>
    <t xml:space="preserve">   + Thu không CĐ (4902 + 4914)</t>
  </si>
  <si>
    <t>Tạm ứng vốn nhàn rỗi kho bạc nhà nước</t>
  </si>
  <si>
    <t>Vay ngân hàng phát triển</t>
  </si>
  <si>
    <t xml:space="preserve"> - Chương trình cụm tuyến dân cư</t>
  </si>
  <si>
    <t xml:space="preserve"> - Chương trình kiên cố hóa kênh mương, giao thôn nông thôn</t>
  </si>
  <si>
    <t xml:space="preserve"> -  Dự án Tăng cường quản lý đất đai và cơ sở dữ liệu đất đai</t>
  </si>
  <si>
    <t xml:space="preserve"> - Dự án Mở rộng, nâng cấp đô thị Việt Nam, tiểu dự án Thành phố Tân An</t>
  </si>
  <si>
    <t xml:space="preserve"> +  Dự án Tăng cường quản lý đất đai và cơ sở dữ liệu đất đai</t>
  </si>
  <si>
    <t xml:space="preserve"> + Dự án Mở rộng, nâng cấp đô thị Việt Nam, tiểu dự án Thành phố Tân An</t>
  </si>
  <si>
    <t xml:space="preserve"> + Tạm ứng vốn nhàn rỗi kho bạc nhà nước</t>
  </si>
  <si>
    <t xml:space="preserve"> + Vay ngân hàng phát triển</t>
  </si>
  <si>
    <t>Chi TX giao đầu năm</t>
  </si>
  <si>
    <t>Giảm DT (theo số tháng thực tế)</t>
  </si>
  <si>
    <t>QLNN - BC</t>
  </si>
  <si>
    <t>QLNN - 116</t>
  </si>
  <si>
    <t>GD-116</t>
  </si>
  <si>
    <t>NS tỉnh</t>
  </si>
  <si>
    <t>NS huyện</t>
  </si>
  <si>
    <t>DT 2017</t>
  </si>
  <si>
    <t xml:space="preserve"> - NTM</t>
  </si>
  <si>
    <t>DT TW</t>
  </si>
  <si>
    <t xml:space="preserve"> + Vốn ĐT</t>
  </si>
  <si>
    <t xml:space="preserve"> + Vốn SN</t>
  </si>
  <si>
    <t xml:space="preserve"> - Giảm nghèo bền vững</t>
  </si>
  <si>
    <t>1. CTMTQG 2017</t>
  </si>
  <si>
    <t>Chưa PB</t>
  </si>
  <si>
    <t>2. CTMTQG 2016 bs trong năm 2017</t>
  </si>
  <si>
    <t>KHỐI HÀNH CHÍNH SỰ NGHIỆP</t>
  </si>
  <si>
    <t>QUỐC PHÒNG - AN NINH</t>
  </si>
  <si>
    <t>HỖ TRỢ</t>
  </si>
  <si>
    <t>Công An tỉnh</t>
  </si>
  <si>
    <t>Bộ chỉ huy quân sự tỉnh</t>
  </si>
  <si>
    <t>Bộ chỉ huy Bộ đội biên phòng</t>
  </si>
  <si>
    <t>Văn phòng Tỉnh ủy</t>
  </si>
  <si>
    <t>Cục Thi hành án dân sự - hỗ trợ hoạt động Ban chỉ đạo thi hành án dân sự</t>
  </si>
  <si>
    <t>Câu lạc bộ hưu trí</t>
  </si>
  <si>
    <t xml:space="preserve"> - Báo Long An</t>
  </si>
  <si>
    <t>Bảo hiểm xã hội tỉnh - Trợ cấp tết cho cán bộ hưu trí trên địa bàn tỉnh</t>
  </si>
  <si>
    <t>Văn phòng Hội đồng nhân dân tỉnh</t>
  </si>
  <si>
    <t>Văn phòng Ủy ban nhân dân tỉnh</t>
  </si>
  <si>
    <t>Sở Nông Nghiệp và Phát triển Nông thôn</t>
  </si>
  <si>
    <t>Sở Kế hoạch và Đầu tư</t>
  </si>
  <si>
    <t>Sở Tư Pháp</t>
  </si>
  <si>
    <t>Sở Công Thương</t>
  </si>
  <si>
    <t>Ban Quản lý khu kinh tế</t>
  </si>
  <si>
    <t>Sở Khoa học và Công nghệ</t>
  </si>
  <si>
    <t>Sở Tài chính</t>
  </si>
  <si>
    <t>Sở Xây dựng</t>
  </si>
  <si>
    <t>Sở Giao thông - Vận tải</t>
  </si>
  <si>
    <t>Ban An toàn giao thông</t>
  </si>
  <si>
    <t>Sở Giáo dục và Đào tạo</t>
  </si>
  <si>
    <t>Sở Y tế</t>
  </si>
  <si>
    <t>Sở Lao động Thương binh và Xã hội</t>
  </si>
  <si>
    <t>Sở Văn hóa, Thể thao và Du lịch</t>
  </si>
  <si>
    <t>Sở Tài nguyên và Môi trường</t>
  </si>
  <si>
    <t>Sở Thông tin và Truyền thông</t>
  </si>
  <si>
    <t>Sở Nội vụ</t>
  </si>
  <si>
    <t>Thanh tra tỉnh</t>
  </si>
  <si>
    <t>Sở Ngoại vụ</t>
  </si>
  <si>
    <t>KHỐI ĐẢNG, ĐOÀN THỂ</t>
  </si>
  <si>
    <t>Tỉnh đoàn</t>
  </si>
  <si>
    <t>Hội liên hiệp phụ nữ</t>
  </si>
  <si>
    <t xml:space="preserve">Hội Nông dân </t>
  </si>
  <si>
    <t>Ủy ban Mặt trận Tổ quốc</t>
  </si>
  <si>
    <t>Hội cựu chiến binh</t>
  </si>
  <si>
    <t>Trường Chính trị</t>
  </si>
  <si>
    <t>Nhà Thiếu nhi tỉnh</t>
  </si>
  <si>
    <t>Liên hiệp hợp tác xã</t>
  </si>
  <si>
    <t>Hội Đông Y</t>
  </si>
  <si>
    <t>Hội người mù</t>
  </si>
  <si>
    <t>Hội chữ thập đỏ</t>
  </si>
  <si>
    <t>Hội nhà báo</t>
  </si>
  <si>
    <t>Hội liên hiệp Văn học Nghệ thuật</t>
  </si>
  <si>
    <t>Liên hiệp các tổ chức hữu nghị</t>
  </si>
  <si>
    <t>Liên hiệp các hội khoa học kỹ thuật</t>
  </si>
  <si>
    <t>Hội cựu thanh niên xung phong</t>
  </si>
  <si>
    <t>Hội khuyết học</t>
  </si>
  <si>
    <t>Hội nạn nhân chất độc da cam</t>
  </si>
  <si>
    <t>Ban đại diện Hội người cao tuổi</t>
  </si>
  <si>
    <t>Hội Luật gia</t>
  </si>
  <si>
    <t>Hội bảo vệ quyền lợi người tiêu dùng</t>
  </si>
  <si>
    <t>Hội thân nhân kiều bào</t>
  </si>
  <si>
    <t>Hội cựu giáo chức</t>
  </si>
  <si>
    <t>I.1</t>
  </si>
  <si>
    <t>Giảm BS CĐ 1 năm</t>
  </si>
  <si>
    <t>1 năm</t>
  </si>
  <si>
    <t>Tổng trả nợ lãi + gốc</t>
  </si>
  <si>
    <t>Thu cổ tức và lợi nhuận còn lại</t>
  </si>
  <si>
    <t>Số huyện</t>
  </si>
  <si>
    <t>Chênh lệch</t>
  </si>
  <si>
    <t>XDCB khác</t>
  </si>
  <si>
    <t>Nguồn khác</t>
  </si>
  <si>
    <t>SỐ huyện</t>
  </si>
  <si>
    <t>TỔNG HỢP KINH PHÍ THỰC HiỆN CÁC CHẾ ĐỘ CHÍNH SÁCH</t>
  </si>
  <si>
    <t>1. Nghị định 136/2013</t>
  </si>
  <si>
    <t>Bố trí DT 2017</t>
  </si>
  <si>
    <t>Số QT 2016</t>
  </si>
  <si>
    <t>ƯTH 2017</t>
  </si>
  <si>
    <t>SLĐ</t>
  </si>
  <si>
    <t>DT 2018</t>
  </si>
  <si>
    <t>Huyện đề nghị</t>
  </si>
  <si>
    <t>Tỉnh giao</t>
  </si>
  <si>
    <t>Tăng thêm so DT 2017</t>
  </si>
  <si>
    <t>Cộng</t>
  </si>
  <si>
    <t>2. Chi an sinh xã hội khác</t>
  </si>
  <si>
    <t>Trợ cấp Tết ngừơi nghèo</t>
  </si>
  <si>
    <t>Đối tượng</t>
  </si>
  <si>
    <t>Kinh phí</t>
  </si>
  <si>
    <t xml:space="preserve">giảm 5 tỷ </t>
  </si>
  <si>
    <t>Thu ngoài quốc doanh</t>
  </si>
  <si>
    <t>Thu cổ tức, lợi nhuận sau thuế</t>
  </si>
  <si>
    <t>Thu cổ tức và lợi nhuận sau thuế</t>
  </si>
  <si>
    <t>UTH</t>
  </si>
  <si>
    <t>Tăng/giảm thu</t>
  </si>
  <si>
    <t>CẤP TỈNH</t>
  </si>
  <si>
    <t>TÒAN TỈNH</t>
  </si>
  <si>
    <t>Thu nội địa trừ TSDĐ,XSKT</t>
  </si>
  <si>
    <t>Kết quả</t>
  </si>
  <si>
    <t>Tp Tân An</t>
  </si>
  <si>
    <t>Bến Lức</t>
  </si>
  <si>
    <t>Cần Giuộc</t>
  </si>
  <si>
    <t>Tân An</t>
  </si>
  <si>
    <t>Thủ Thừa</t>
  </si>
  <si>
    <t xml:space="preserve"> + Nguồn vốn huy động khác, nhân dân đóng góp</t>
  </si>
  <si>
    <t>Đất tổ chức</t>
  </si>
  <si>
    <t>huyện Thủ Thừa</t>
  </si>
  <si>
    <t xml:space="preserve">Phân cấp </t>
  </si>
  <si>
    <t>tỉnh phân cấp quản lý di tích văn hóa nhưng chưa phân cấp kinh phí</t>
  </si>
  <si>
    <t>Cân Đước</t>
  </si>
  <si>
    <t>hiện trạng các di tích đang xuống cấp</t>
  </si>
  <si>
    <t>Tân Thạnh</t>
  </si>
  <si>
    <t xml:space="preserve">Đất </t>
  </si>
  <si>
    <t>Phí,lệ phí</t>
  </si>
  <si>
    <t>Quân sự</t>
  </si>
  <si>
    <t>Kp thực hiện đề án công cụ hỗ trợ</t>
  </si>
  <si>
    <t>Phí vệ sinh -&gt; giá: co chế bù giá như thế nào, vận chuyển xử lý tại Đa Phước</t>
  </si>
  <si>
    <t>Ngoài QD</t>
  </si>
  <si>
    <t>có 2 khỏan đột biến</t>
  </si>
  <si>
    <t>năm 2017 đột biến cao, VP dăng ký đất đai</t>
  </si>
  <si>
    <t>Đức Hòa</t>
  </si>
  <si>
    <t>Cần Đứơc</t>
  </si>
  <si>
    <t>Cần Đước</t>
  </si>
  <si>
    <t>một số chuyển sang cơ chế giá, phí LV tài nguyên môi trường chuyển về tỉnh</t>
  </si>
  <si>
    <t>Châu Thành</t>
  </si>
  <si>
    <t>DT so Dt</t>
  </si>
  <si>
    <t>tăng TSDĐ 5 tỷ, giảm CĐ 3 tỷ</t>
  </si>
  <si>
    <t>Thạnh Hóa</t>
  </si>
  <si>
    <t>Vĩnh Hung</t>
  </si>
  <si>
    <t>Vĩnh Hưng</t>
  </si>
  <si>
    <t>Kiến Tường</t>
  </si>
  <si>
    <t>Tân Hưng</t>
  </si>
  <si>
    <t>Tân Trụ</t>
  </si>
  <si>
    <t>Thu tiền bảo vệ đất trồng lúa</t>
  </si>
  <si>
    <t>Thu khác NS -KCĐ</t>
  </si>
  <si>
    <t>DT thu khác</t>
  </si>
  <si>
    <t>Đức Huệ</t>
  </si>
  <si>
    <t>Mộc Hóa</t>
  </si>
  <si>
    <t>huyện hưởng Không CĐ: 4902 - thấp hơn số thực hiện</t>
  </si>
  <si>
    <t>Thu tiền BV đất trồng lúa (UTH)</t>
  </si>
  <si>
    <t>UTH 2017</t>
  </si>
  <si>
    <t>Thu huyện hưởng</t>
  </si>
  <si>
    <t>TH 9 tháng</t>
  </si>
  <si>
    <t>NSTW</t>
  </si>
  <si>
    <t>Thu nội địa trừ đất và XSKT trừ không CĐ</t>
  </si>
  <si>
    <t>Số Huyện</t>
  </si>
  <si>
    <t>15 huyện</t>
  </si>
  <si>
    <t xml:space="preserve"> - Kinh phí thực hiện  chính sách tinh giãn biên chế theo Nghị định 108/2014/NĐ-CP</t>
  </si>
  <si>
    <t xml:space="preserve"> - Kinh phí thực hiện Đề án trợ giúp người dân di cư tự do từ Campuchia về Việt Nam</t>
  </si>
  <si>
    <t xml:space="preserve"> - Kinh phí chi thưởng cho bà mẹ được tặng danh hiệu vinh dự Nhà nước "Bà mẹ Việt Nam anh hùng"</t>
  </si>
  <si>
    <t xml:space="preserve"> - Kinh phí thực hiện chính sách bảo trợ xã hội</t>
  </si>
  <si>
    <t xml:space="preserve"> - Kinh phí hỗ trợ tiền điện cho hộ nghèo</t>
  </si>
  <si>
    <t xml:space="preserve"> - Kinh phí thực hiện chính sách nghỉ hưu trước tuổi theo Nghị định số 26/2015/NĐ-CP</t>
  </si>
  <si>
    <t xml:space="preserve"> - Kinh phí thực hiện Quyết định số 799/QĐ-TTg từ năm 2014 đến 2016</t>
  </si>
  <si>
    <t xml:space="preserve"> -Kinh phí thực hiện dự án hoàn thiện, hiện đại hóa hồ sơ, bản đồ, địa giới hành chính và xây dựng dữ liệu về địa giới hành chính năm 2017</t>
  </si>
  <si>
    <t>MUA THẺ BHYT</t>
  </si>
  <si>
    <t>DT HCSN</t>
  </si>
  <si>
    <t>Ngoài DT</t>
  </si>
  <si>
    <t>DT Khối Đảng QS</t>
  </si>
  <si>
    <t>HCSN</t>
  </si>
  <si>
    <t>Dđào</t>
  </si>
  <si>
    <t xml:space="preserve">DT </t>
  </si>
  <si>
    <t>Hiến tạng</t>
  </si>
  <si>
    <t>Trẻ em</t>
  </si>
  <si>
    <t>Cận nghèo</t>
  </si>
  <si>
    <t xml:space="preserve"> + Cận nghèo</t>
  </si>
  <si>
    <t>Nghèo</t>
  </si>
  <si>
    <t>Số lượng</t>
  </si>
  <si>
    <t>MG 2017</t>
  </si>
  <si>
    <t>KP (UTH)</t>
  </si>
  <si>
    <t>MG 2018</t>
  </si>
  <si>
    <t>KP</t>
  </si>
  <si>
    <t>Di dân</t>
  </si>
  <si>
    <t>GD</t>
  </si>
  <si>
    <t>ĐT</t>
  </si>
  <si>
    <t>Tổng chi</t>
  </si>
  <si>
    <t>Vượt thu XSKT 2012,2014</t>
  </si>
  <si>
    <t>Vượ thu XSKT 2016</t>
  </si>
  <si>
    <t>Nguồn CCTL 2014</t>
  </si>
  <si>
    <t>Vượt thu TSDĐ</t>
  </si>
  <si>
    <t>XDCBTT</t>
  </si>
  <si>
    <t>CTMTQG giảm nghèo 2016</t>
  </si>
  <si>
    <t>Mượn tồn quỹ</t>
  </si>
  <si>
    <t>CTMTQG</t>
  </si>
  <si>
    <t>9 tháng 2017</t>
  </si>
  <si>
    <t>Thực hiện</t>
  </si>
  <si>
    <t xml:space="preserve"> - Kinh phí quản lý, bảo trì đường bộ năm 2017</t>
  </si>
  <si>
    <t>tăng 90 ngàn lương TT</t>
  </si>
  <si>
    <t>- Kinh phí thực hiện nhiệm vụ đảm bảo trật tự an toàn giao thông</t>
  </si>
  <si>
    <t>- Hỗ trợ các Hội Văn học nghệ thuật và Hội Nhà báo địa phương; mua thiết bị chiếu phim và ô tô chuyên dụng</t>
  </si>
  <si>
    <t>- Bổ sung thực hiện một số chương trình mục tiêu</t>
  </si>
  <si>
    <t>+ CTMT giáo dục nghề nghiệp, việc làm và ATLĐ</t>
  </si>
  <si>
    <t>+ CTMT phát triển hệ thống trợ giúp xã hội</t>
  </si>
  <si>
    <t>+ CTMT y tế, dân số</t>
  </si>
  <si>
    <t>+ CTMT phát triển văn hóa</t>
  </si>
  <si>
    <t>+ CTMT đảm bảo trật tự ATGT phòng cháy chữa cháy phòng chống tội phạm và ma túy</t>
  </si>
  <si>
    <t>+ CTMT phát triển lâm nghiệp bền vững</t>
  </si>
  <si>
    <t>+ CTMT tái cơ cấu kinh tế nông nghiệp và phòng chống giảm nhẹ thiên tai, ổn định đời sống dân cư</t>
  </si>
  <si>
    <t xml:space="preserve"> + Chi từ nguồn thu cân đối ngân sách địa phương</t>
  </si>
  <si>
    <t xml:space="preserve"> - Hỗ trợ thực hiện chính sách đối với đối tượng bảo trợ xã hội, hỗ trợ tiền điện hộ nghèo, hộ chính sách, trợ giá;…</t>
  </si>
  <si>
    <t>Vay</t>
  </si>
  <si>
    <t>Trả nợ</t>
  </si>
  <si>
    <t>đến 27/10/2017</t>
  </si>
  <si>
    <t>Dự toán TW</t>
  </si>
  <si>
    <t>4=3-1</t>
  </si>
  <si>
    <t>Thu bổ sung thực hiện cải cách tiền lương</t>
  </si>
  <si>
    <t>Tổng cộng</t>
  </si>
  <si>
    <t>TỔNG HỢP DỰ TOÁN KINH PHÍ MUA, HỖ TRỢ MUA THẺ BHYT NĂM 2018</t>
  </si>
  <si>
    <t>Tổng cộng có di dân</t>
  </si>
  <si>
    <t>Kinh phí mua thẻ (triệu đồng)</t>
  </si>
  <si>
    <t>Ngân sách hỗ trợ (triệu đồng)</t>
  </si>
  <si>
    <t>Mệnh giá (đồng)</t>
  </si>
  <si>
    <t xml:space="preserve"> + Thoát nghèo không quá 5 năm</t>
  </si>
  <si>
    <t>Học sinh sinh viên</t>
  </si>
  <si>
    <t>Đối tượng bảo trợ xã hội</t>
  </si>
  <si>
    <t>Người sinh sống ở vùng có điều kiện kinh tế - xã hội đặc biệt khó khăn</t>
  </si>
  <si>
    <t>Người sinh sống ở xã biên giới</t>
  </si>
  <si>
    <t>P.Đầu tư/AIC</t>
  </si>
  <si>
    <t>khác</t>
  </si>
  <si>
    <t>Phần thu</t>
  </si>
  <si>
    <t xml:space="preserve"> - Nội địa</t>
  </si>
  <si>
    <t xml:space="preserve">  + TSDĐ</t>
  </si>
  <si>
    <t xml:space="preserve">  + XSKT</t>
  </si>
  <si>
    <t xml:space="preserve">  + Cân đối</t>
  </si>
  <si>
    <t xml:space="preserve"> - XNK</t>
  </si>
  <si>
    <t>2017 TW</t>
  </si>
  <si>
    <t>Tổng</t>
  </si>
  <si>
    <t>Tỉnh</t>
  </si>
  <si>
    <t>Thu NSTW</t>
  </si>
  <si>
    <t xml:space="preserve"> - Phí TW</t>
  </si>
  <si>
    <t xml:space="preserve"> - Thuế BVMT</t>
  </si>
  <si>
    <t xml:space="preserve"> - Phạt ATGT</t>
  </si>
  <si>
    <t xml:space="preserve"> - Phạt thuế</t>
  </si>
  <si>
    <t xml:space="preserve"> - Tiền cấp quyền khai thác khoáng sản</t>
  </si>
  <si>
    <t>Thu NSĐP -TSDĐ-XSKT</t>
  </si>
  <si>
    <t>TW BSCĐ</t>
  </si>
  <si>
    <t>DT 2019</t>
  </si>
  <si>
    <t>DT 2020</t>
  </si>
  <si>
    <t>Chi ĐTPT</t>
  </si>
  <si>
    <t xml:space="preserve"> - Vốn tập trung</t>
  </si>
  <si>
    <t xml:space="preserve">    + trả nợ</t>
  </si>
  <si>
    <t xml:space="preserve">    + XDCB</t>
  </si>
  <si>
    <t xml:space="preserve"> - TSDĐ</t>
  </si>
  <si>
    <t xml:space="preserve"> - XSKT</t>
  </si>
  <si>
    <t xml:space="preserve"> - GD ĐT</t>
  </si>
  <si>
    <t xml:space="preserve"> - KHCN</t>
  </si>
  <si>
    <t xml:space="preserve"> - MT</t>
  </si>
  <si>
    <t xml:space="preserve"> - còn lại</t>
  </si>
  <si>
    <t>Dự phòng</t>
  </si>
  <si>
    <t>Chi bs quỹ dự trữ tài chính</t>
  </si>
  <si>
    <t>Chi tạo nguồn CCTL</t>
  </si>
  <si>
    <t xml:space="preserve"> - từ TSDĐ</t>
  </si>
  <si>
    <t>Chi trả nợ gốc</t>
  </si>
  <si>
    <t>2017 ĐP</t>
  </si>
  <si>
    <t>Chi trả lãi</t>
  </si>
  <si>
    <t>TW 2018</t>
  </si>
  <si>
    <t xml:space="preserve"> - Bội chi/Vay</t>
  </si>
  <si>
    <t>Thu vay</t>
  </si>
  <si>
    <t xml:space="preserve"> + Quỹ phát triển đất</t>
  </si>
  <si>
    <t xml:space="preserve"> + XDCB</t>
  </si>
  <si>
    <t>Chi bs cấp dưới CĐ</t>
  </si>
  <si>
    <t>Chi bs cấp dưới lương</t>
  </si>
  <si>
    <t>Chi - thu</t>
  </si>
  <si>
    <t xml:space="preserve">XDCB tập trung </t>
  </si>
  <si>
    <t>Chi TX</t>
  </si>
  <si>
    <t>GDĐT</t>
  </si>
  <si>
    <t>MT</t>
  </si>
  <si>
    <t>DP</t>
  </si>
  <si>
    <t>Chi tao NCCTL</t>
  </si>
  <si>
    <t>Năm 2019</t>
  </si>
  <si>
    <t>Năm 2020</t>
  </si>
  <si>
    <t>XDCB tăng theo NQ 07</t>
  </si>
  <si>
    <t>Chhi tạo nguồn</t>
  </si>
  <si>
    <t>Tỉnh bs</t>
  </si>
  <si>
    <t>Đào</t>
  </si>
  <si>
    <t>Giữ lại</t>
  </si>
  <si>
    <t>TU</t>
  </si>
  <si>
    <t>CA</t>
  </si>
  <si>
    <t>BDBP</t>
  </si>
  <si>
    <t>BCHQS tỉnh</t>
  </si>
  <si>
    <t>THA</t>
  </si>
  <si>
    <t>Cục TY</t>
  </si>
  <si>
    <t>CLB HT</t>
  </si>
  <si>
    <t>BHYT</t>
  </si>
  <si>
    <t>DK 2019</t>
  </si>
  <si>
    <t>DK 2020</t>
  </si>
  <si>
    <t>NHCS</t>
  </si>
  <si>
    <t>Quỹ bảo trợ trẻ em</t>
  </si>
  <si>
    <t>Tiền bảo vể đất trồng lúa</t>
  </si>
  <si>
    <t>tăng (%)</t>
  </si>
  <si>
    <t>Chi CĐNSĐP luôn bội chi</t>
  </si>
  <si>
    <t>QT 2016</t>
  </si>
  <si>
    <t>GRDP</t>
  </si>
  <si>
    <t xml:space="preserve">Thu từ khu vực DNNN do địa phương quản lý </t>
  </si>
  <si>
    <t>Thu từ khu vực doanh nghiệp có vốn đầu tư nước ngoài</t>
  </si>
  <si>
    <t xml:space="preserve">Thu từ khu vực kinh tế ngoài quốc doanh </t>
  </si>
  <si>
    <t xml:space="preserve">Lợi nhuận được chia của Nhà nước và lợi nhuận sau thuế còn lại sau khi trích lập các quỹ của doanh nghiệp nhà nước </t>
  </si>
  <si>
    <t xml:space="preserve">Chênh lệch thu chi Ngân hàng Nhà nước </t>
  </si>
  <si>
    <t>22=11/1</t>
  </si>
  <si>
    <t>23=12/2</t>
  </si>
  <si>
    <t>24=13/3</t>
  </si>
  <si>
    <t>25=14/4</t>
  </si>
  <si>
    <t>26=15/5</t>
  </si>
  <si>
    <t>27=16/6</t>
  </si>
  <si>
    <t>28=17/7</t>
  </si>
  <si>
    <t>29=19/8</t>
  </si>
  <si>
    <t>30=20/9</t>
  </si>
  <si>
    <t>31=21/10</t>
  </si>
  <si>
    <t xml:space="preserve">Tên đơn vị </t>
  </si>
  <si>
    <t xml:space="preserve">I- Thu nội địa </t>
  </si>
  <si>
    <t xml:space="preserve">II- Thu từ dầu thô </t>
  </si>
  <si>
    <t xml:space="preserve">III- Thu từ hoạt động xuất nhập khẩu </t>
  </si>
  <si>
    <t xml:space="preserve"> - Văn phòng Tỉnh ủy</t>
  </si>
  <si>
    <t>Đài phát thành truyền hình</t>
  </si>
  <si>
    <t>Khác</t>
  </si>
  <si>
    <t>Các đơn vị khác</t>
  </si>
  <si>
    <t xml:space="preserve">Thu từ khu vực DNNN do trung ương quản lý </t>
  </si>
  <si>
    <t>Thu từ khu vực DNNN do địa phương quản lý</t>
  </si>
  <si>
    <t xml:space="preserve">Thu hồi vốn, thu cổ tức </t>
  </si>
  <si>
    <t>ĐÁNH GIÁ THỰC HIỆN THU NGÂN SÁCH NHÀ NƯỚC TRÊN ĐỊA BÀN TỪNG HUYỆN, THỊ, THÀNH PHỐ NĂM 2017</t>
  </si>
  <si>
    <t>TỔNG SỐ </t>
  </si>
  <si>
    <t xml:space="preserve">Chi bổ sung quỹ dự trữ tài chính </t>
  </si>
  <si>
    <t>Hủy DT</t>
  </si>
  <si>
    <t>Chuyển nguồn</t>
  </si>
  <si>
    <t xml:space="preserve">CHI BỔ SUNG CÂN ĐỐI CHO NGÂN SÁCH CẤP DƯỚI </t>
  </si>
  <si>
    <t xml:space="preserve"> - Hỗ trợ kinh phí mua vắc xin lở mồm, long móng</t>
  </si>
  <si>
    <t xml:space="preserve"> - Chương trình mục tiêu phát triển lâm nghiệp bền vững</t>
  </si>
  <si>
    <t xml:space="preserve"> - Hỗ trợ hội văn học nghệ thuật, Hội nhà báo</t>
  </si>
  <si>
    <t xml:space="preserve"> - Kinh phí sự nghiệp thực hiện chương trình mục tiêu phát triển hệ thống trợ giúp  xã hội năm 2017</t>
  </si>
  <si>
    <t xml:space="preserve">Bổ sung chương trình mục tiêu quốc gia </t>
  </si>
  <si>
    <t xml:space="preserve"> - CTMTQG xây dựng nông thôn mới</t>
  </si>
  <si>
    <t xml:space="preserve"> - CTMTQG giảm nghèo bền vững</t>
  </si>
  <si>
    <t xml:space="preserve">  </t>
  </si>
  <si>
    <t>Dt 2017</t>
  </si>
  <si>
    <t>10% TK</t>
  </si>
  <si>
    <t>BS trong năm</t>
  </si>
  <si>
    <t>% thực hiện</t>
  </si>
  <si>
    <t>Cúm</t>
  </si>
  <si>
    <t>QLNN/QPAN</t>
  </si>
  <si>
    <t>TLP</t>
  </si>
  <si>
    <t>Lua nươc</t>
  </si>
  <si>
    <t>File chi tiết</t>
  </si>
  <si>
    <t>(chưa phân bổ)</t>
  </si>
  <si>
    <t>Chưa phân bô</t>
  </si>
  <si>
    <t>Chưa phân bổ</t>
  </si>
  <si>
    <t>CHI BỔ SUNG CÓ MỤC TIÊU CHO NGÂN SÁCH CẤP DƯỚI</t>
  </si>
  <si>
    <t xml:space="preserve">CHI TRẢ NỢ LÃI CÁC KHOẢN DO CHÍNH QUYỀN ĐỊA PHƯƠNG VAY </t>
  </si>
  <si>
    <t xml:space="preserve">CHI BỔ SUNG QUỸ DỰ TRỮ TÀI CHÍNH </t>
  </si>
  <si>
    <t xml:space="preserve">Chi trả nợ lãi các khoản do chính quyền địa phương vay </t>
  </si>
  <si>
    <t>A. CÂN ĐỐI NGÂN SÁCH ĐỊA PHƯƠNG</t>
  </si>
  <si>
    <t>B. TRUNG ƯƠNG BỔ SUNG CÓ MỤC TIÊU</t>
  </si>
  <si>
    <t xml:space="preserve"> - Tòa án nhân dân tỉnh</t>
  </si>
  <si>
    <t xml:space="preserve"> - Viện kiểm sát nhân dân tỉnh</t>
  </si>
  <si>
    <t xml:space="preserve"> - Bệnh viện đa khoa Long An</t>
  </si>
  <si>
    <t xml:space="preserve"> - Trường Cao đẳng nghề Long An</t>
  </si>
  <si>
    <t xml:space="preserve"> - Ban quản lý đầu tư xây dựng các công trình dân dụng và công nghiệp tỉnh</t>
  </si>
  <si>
    <t xml:space="preserve"> - UBND thành phố Tân An</t>
  </si>
  <si>
    <t xml:space="preserve"> - UBND thị xã Kiến Tường</t>
  </si>
  <si>
    <t xml:space="preserve"> - UBND huyện Tân Hưng</t>
  </si>
  <si>
    <t xml:space="preserve"> - UBND huyện Vĩnh Hưng</t>
  </si>
  <si>
    <t xml:space="preserve"> - UBND huyện Mộc Hóa</t>
  </si>
  <si>
    <t xml:space="preserve"> - UBND huyện Tân Thạnh</t>
  </si>
  <si>
    <t xml:space="preserve"> - UBND huyện Thạnh Hóa</t>
  </si>
  <si>
    <t xml:space="preserve"> - UBND huyện Thủ Thừa</t>
  </si>
  <si>
    <t xml:space="preserve"> - UBND huyện Bến Lức</t>
  </si>
  <si>
    <t xml:space="preserve"> - UBND huyện Đức Hòa</t>
  </si>
  <si>
    <t xml:space="preserve"> - UBND huyện Đức Huệ</t>
  </si>
  <si>
    <t xml:space="preserve"> - UBND huyện Châu Thành</t>
  </si>
  <si>
    <t xml:space="preserve"> - UBND huyện Tân Trụ</t>
  </si>
  <si>
    <t xml:space="preserve"> - UBND huyện Cần Đước</t>
  </si>
  <si>
    <t xml:space="preserve"> - UBND huyện Cần Giuộc</t>
  </si>
  <si>
    <t>in</t>
  </si>
  <si>
    <t>x</t>
  </si>
  <si>
    <t>CHI TRẢ NỢ LÃI CÁC KHOẢN DO CHÍNH QUYỀN ĐỊA PHƯƠNG VAY</t>
  </si>
  <si>
    <t xml:space="preserve">CHI BỔ SUNG CÓ MỤC TIÊU CHO NGÂN SÁCH CẤP DƯỚI </t>
  </si>
  <si>
    <t xml:space="preserve">Dự toán năm 2018 </t>
  </si>
  <si>
    <t>BỘI CHI NSĐP/BỘI THU NSĐP (theo dự toán)</t>
  </si>
  <si>
    <t>Dự toán năm 2017 (*)</t>
  </si>
  <si>
    <t xml:space="preserve">Nội dung </t>
  </si>
  <si>
    <t xml:space="preserve">(*) </t>
  </si>
  <si>
    <t>Dự toán năm 2017 - TW giao + bổ sung</t>
  </si>
  <si>
    <t xml:space="preserve"> + Chi từ nguồn vốn vay bù đắp việc giảm vốn XDCB theo định mức và kết dư ngân sách tỉnh để trả nợ gốc đến hạn</t>
  </si>
  <si>
    <t xml:space="preserve"> - CTMTQG xây dựng nông thôn mới (2300+35630)</t>
  </si>
  <si>
    <t xml:space="preserve"> - CTMTQG giảm nghèo bền vững (1042)</t>
  </si>
  <si>
    <t>ĐVT: 1.000 đồng</t>
  </si>
  <si>
    <t>ước thực hiện năm 2017</t>
  </si>
  <si>
    <t>so sánh (%)</t>
  </si>
  <si>
    <t xml:space="preserve">TỔNG SỐ </t>
  </si>
  <si>
    <t>Đơn vị do ngân sách đảm bảo 1 phần</t>
  </si>
  <si>
    <t>Sự nghiệp kinh tế</t>
  </si>
  <si>
    <t>* Chi SN nông nghiệp</t>
  </si>
  <si>
    <t>Chi cục Trồng trọt và Bảo vệ thực vật (SN)</t>
  </si>
  <si>
    <t>Trung tâm khuyến nông (61)</t>
  </si>
  <si>
    <t>T.Tâm nước sạch và Vệ sinh MTNT</t>
  </si>
  <si>
    <t>* Chi SN thủy lợi</t>
  </si>
  <si>
    <t>T.T quản lý khai thác Công trình TLĐH</t>
  </si>
  <si>
    <t>* Sự nghiệp khác</t>
  </si>
  <si>
    <t>T.Tâm Dịch vụ Bán đấu giá tài sản</t>
  </si>
  <si>
    <t>T.Tâm Khuyến công và TVPTCN</t>
  </si>
  <si>
    <t>Trung tâm Lưu trữ lịch sử</t>
  </si>
  <si>
    <t>Trung tâm Tin học</t>
  </si>
  <si>
    <t>T.Tâm hỗ trợ DN nhỏ và vừa</t>
  </si>
  <si>
    <t>T.tâm điều hành vận tải</t>
  </si>
  <si>
    <t>Cảng vụ đường thủy nội địa</t>
  </si>
  <si>
    <t>* Chi sự nghiệp giáo dục</t>
  </si>
  <si>
    <t>SN theo NĐ 43</t>
  </si>
  <si>
    <t xml:space="preserve"> - Trường THPT </t>
  </si>
  <si>
    <t>Chi Sự nghiệp đào tạo</t>
  </si>
  <si>
    <t xml:space="preserve">Trường Trung học y tế   </t>
  </si>
  <si>
    <t xml:space="preserve">Trường TC nghề ĐTM </t>
  </si>
  <si>
    <t>Trường TC nghề Cần Giuộc</t>
  </si>
  <si>
    <t xml:space="preserve">Trường Cao đẳng nghề LA </t>
  </si>
  <si>
    <t xml:space="preserve">T.Tâm Dịch vụ Việc làm Long An </t>
  </si>
  <si>
    <t xml:space="preserve">Trường TC nghề Đức Hòa </t>
  </si>
  <si>
    <t>T.Tâm KT TH hướng nghiệp tỉnh</t>
  </si>
  <si>
    <t>Trường Cao đẳng sư phạm</t>
  </si>
  <si>
    <t>Trường TC KT- KT Long An</t>
  </si>
  <si>
    <t>* Chi Sự nghiệp y tế</t>
  </si>
  <si>
    <t>Trung tâm giám định y khoa</t>
  </si>
  <si>
    <t>Trung tâm pháp y</t>
  </si>
  <si>
    <t>Trung tâm  kiểm nghiệm MPDP</t>
  </si>
  <si>
    <t>T.Tâm chăm sóc SKSS</t>
  </si>
  <si>
    <t>Trung tâm Phòng chống HIV/AIDS</t>
  </si>
  <si>
    <t>T.Tâm y tế dự phòng tỉnh</t>
  </si>
  <si>
    <t>T.Tâm y tế huyện, TX, thành phố</t>
  </si>
  <si>
    <t>Y tế xã</t>
  </si>
  <si>
    <t>Phòng khám khu vực</t>
  </si>
  <si>
    <t>Bệnh Viện Đa khoa Long an</t>
  </si>
  <si>
    <t>Bệnh Viện Tâm Thần Long an</t>
  </si>
  <si>
    <t>Bệnh viện Lao và Bệnh phổi</t>
  </si>
  <si>
    <t>Bệnh Viện y học cổ truyền</t>
  </si>
  <si>
    <t>BV ĐK khu vực Hậu Nghĩa</t>
  </si>
  <si>
    <t>BV ĐK khu vực Đồng Tháp Mười</t>
  </si>
  <si>
    <t>BV ĐK khu vực Cần Giuộc</t>
  </si>
  <si>
    <t>* Chi S.Nghiệp văn hóa</t>
  </si>
  <si>
    <t>Thư viện</t>
  </si>
  <si>
    <t xml:space="preserve">Bảo tàng </t>
  </si>
  <si>
    <t>Ban QLDT lịch sử văn hóa</t>
  </si>
  <si>
    <t xml:space="preserve">Đoàn Nghệ thuật cải lương </t>
  </si>
  <si>
    <t>Đoàn xiếc Nhân dân</t>
  </si>
  <si>
    <t>T.Tâm văn hóa thông tin</t>
  </si>
  <si>
    <t>T.T phát hành phim chiếu bóng</t>
  </si>
  <si>
    <t>T.T thông tin xúc tiến du lịch</t>
  </si>
  <si>
    <t>Nhà thiếu nhi</t>
  </si>
  <si>
    <t>Trung tâm Hoạt động TTN</t>
  </si>
  <si>
    <t>Chi sự nghiệp PTTH</t>
  </si>
  <si>
    <t>Đài phát thanh truyền hình</t>
  </si>
  <si>
    <t>SN Thể dục Thể thao</t>
  </si>
  <si>
    <t>T.Tâm huấn luyện và thi đấu TT</t>
  </si>
  <si>
    <t>Đơn vị đảm bảo toàn bộ</t>
  </si>
  <si>
    <t>Sự nghiệp nông nghiệp</t>
  </si>
  <si>
    <t>Chi cục chăn nuôi và thú y</t>
  </si>
  <si>
    <t>T.Tâm giống nông nghiệp</t>
  </si>
  <si>
    <t>Ban quản lý dự án nông nghiệp</t>
  </si>
  <si>
    <t>Sự nghiệp khác</t>
  </si>
  <si>
    <t>Phòng công chứng số 1</t>
  </si>
  <si>
    <t>Phòng công chứng số 2</t>
  </si>
  <si>
    <t>Phòng công chứng số 3</t>
  </si>
  <si>
    <t>Phòng công chứng số 4</t>
  </si>
  <si>
    <t>T.Tâm Quy hoạch xây dựng</t>
  </si>
  <si>
    <t>T.Tâm Giám định chất lượng XD</t>
  </si>
  <si>
    <t>T.Tâm đăng kiểm xe cơ giới</t>
  </si>
  <si>
    <t>T.Tâm kiểm định CLCTGT</t>
  </si>
  <si>
    <t>T.Tâm đào tạo GTVT</t>
  </si>
  <si>
    <t>T.Tâm Quản lý đường bộ-ĐS</t>
  </si>
  <si>
    <t>Ban quản lý dự án các công trình giao thông</t>
  </si>
  <si>
    <t>T.Tâm CNTT</t>
  </si>
  <si>
    <t>T.Tâm Quan trắc DVTN&amp;MT</t>
  </si>
  <si>
    <t>T.Tâm dịch vụ tư vấn nhà đất</t>
  </si>
  <si>
    <t>T.Tâm kỷ thuật tài nguyên &amp; MT</t>
  </si>
  <si>
    <t>VP Đăng ký đất đai</t>
  </si>
  <si>
    <t>Trung tâm phục vụ hội nghị</t>
  </si>
  <si>
    <t>Trung tâm CNTT-TT</t>
  </si>
  <si>
    <t>Ban quản lý dự án các công trình Dân dụng</t>
  </si>
  <si>
    <t>Sự nghiệp đào tạo</t>
  </si>
  <si>
    <t>Trung tâm ngoại ngữ tin học</t>
  </si>
  <si>
    <t>T.Tâm Giáo dục TX tỉnh</t>
  </si>
  <si>
    <t>ĐÁNH GIÁ THỰC HIỆN THU DỊCH VỤ 
CỦA ĐƠN VỊ SỰ NGHIỆP CÔNG CẤP TỈNH NĂM 2017</t>
  </si>
  <si>
    <t xml:space="preserve"> - Thuế TTĐB</t>
  </si>
  <si>
    <t xml:space="preserve"> - Thu kết dư để trả nợ</t>
  </si>
  <si>
    <t>DỰ KIẾN CHI NGÂN SÁCH CẤP TỈNH 
THEO CƠ CẤU CHI GIAI ĐOẠN 03 NĂM 2018-2020</t>
  </si>
  <si>
    <t>Chương trình mục tiêu quốc gia xây dựng nông thôn mới</t>
  </si>
  <si>
    <t>Các chương trình mục tiêu</t>
  </si>
  <si>
    <t>Chương trình mục tiêu…</t>
  </si>
  <si>
    <t>Bội chi</t>
  </si>
  <si>
    <t>d</t>
  </si>
  <si>
    <t>e</t>
  </si>
  <si>
    <t>Chương trình mục tiêu phát triển kinh tế - xã hội vùng</t>
  </si>
  <si>
    <t>Kinh phí khen thưởng các địa phương có thành tích tiêu biểu trong xây dựng nông thôn mới giai đoạn 2011-2015</t>
  </si>
  <si>
    <t>Hỗ trợ nhà ở người có công</t>
  </si>
  <si>
    <t>Chương trình mục tiêu đầu tư hạ tầng khu kinh tế ven biển, khu kinh tế cửa khẩu, khu công nghiệp, cụm công nghiệp, khu công nghệ cao, khu nông nghiệp ứng dụng công nghệ cao</t>
  </si>
  <si>
    <t>Chương trình mục tiêu đầu tư phát triển hạ tầng y tế địa phương</t>
  </si>
  <si>
    <t>g</t>
  </si>
  <si>
    <t>Chương trình mục tiêu phát triển hạ tầng du lịch</t>
  </si>
  <si>
    <t>h</t>
  </si>
  <si>
    <t>Chương trình mục tiêu quốc phòng, an ninh trên địa bàn trọng điểm</t>
  </si>
  <si>
    <t>i</t>
  </si>
  <si>
    <t>k</t>
  </si>
  <si>
    <t>l</t>
  </si>
  <si>
    <t>m</t>
  </si>
  <si>
    <t>n</t>
  </si>
  <si>
    <t>Các dự án cấp bách phòng chống khắc phụ tình trạng hạn hán, xâm nhập mặn</t>
  </si>
  <si>
    <t>Chương trình mục tiêu tái cơ cấu kinh tế nông nghiệp và phòng chống giảm nhẹ thiên tai, ổn định đời sống dân cư</t>
  </si>
  <si>
    <t>Chương trình mục tiêu khác</t>
  </si>
  <si>
    <t>KẾ HOẠCH THU DỊCH VỤ CỦA ĐƠN VỊ SỰ NGHIỆP CÔNG CẤP TỈNH NĂM 2018</t>
  </si>
  <si>
    <t>Dự kiến kế hoạch đầu tư giai đoạn 2018-2020</t>
  </si>
  <si>
    <t xml:space="preserve">CHI ĐẦU TƯ CỦA NGÂN SÁCH CẤP TỈNH VÀ NGÂN SÁCH HUYỆN </t>
  </si>
  <si>
    <t>Thu - đất</t>
  </si>
  <si>
    <t>NS cấp tỉnh</t>
  </si>
  <si>
    <t>Biểu 11</t>
  </si>
  <si>
    <t>Tổng chi cân đối ngân sách huyện</t>
  </si>
  <si>
    <t>DỰ TOÁN CHI NGÂN SÁCH TỪNG HUYỆN, THỊ, THÀNH PHỐ NĂM 2018</t>
  </si>
  <si>
    <t>Bổ sung vốn đầu tư để thực hiện các chương trình mục tiêu, nhiệm vụ (1)</t>
  </si>
  <si>
    <t>Ghi chú: (1) Bổ sung có mục tiêu từ ngân sách cấp tỉnh cho ngân sách huyện từ nguồn vốn Xổ số kiến thiết năm 2018 để thực hiện Chương trình xây dựng nông thôn mới</t>
  </si>
  <si>
    <t xml:space="preserve">THU NSĐP </t>
  </si>
  <si>
    <t xml:space="preserve">CHI CÂN ĐỐI NSĐP </t>
  </si>
  <si>
    <t>Dư nợ</t>
  </si>
  <si>
    <t>Số tháng</t>
  </si>
  <si>
    <t>Phí</t>
  </si>
  <si>
    <t>Phát hành TP</t>
  </si>
  <si>
    <t>Vay lại CP</t>
  </si>
  <si>
    <t>KH trả lãi</t>
  </si>
  <si>
    <t>Biểu số 46/CK-NSNN</t>
  </si>
  <si>
    <t>ỦY BAN NHÂN DÂN</t>
  </si>
  <si>
    <t>TỈNH LONG AN</t>
  </si>
  <si>
    <t>(Dự toán đã được Hội đồng nhân dân quyết định)</t>
  </si>
  <si>
    <t xml:space="preserve">Chi đầu tư phát triển </t>
  </si>
  <si>
    <t xml:space="preserve">BỘI CHI NSĐP/BỘI THU NSĐP </t>
  </si>
  <si>
    <t xml:space="preserve">CHI TRẢ NỢ GỐC CỦA NSĐP </t>
  </si>
  <si>
    <t xml:space="preserve">TỔNG MỨC VAY CỦA NSĐP </t>
  </si>
  <si>
    <t xml:space="preserve">     ỦY BAN NHÂN DÂN</t>
  </si>
  <si>
    <t xml:space="preserve">        TỈNH LONG AN</t>
  </si>
  <si>
    <t xml:space="preserve">      ỦY BAN NHÂN DÂN </t>
  </si>
  <si>
    <t xml:space="preserve">          TỈNH LONG AN</t>
  </si>
  <si>
    <t>Biểu số 48/CK-NSNN</t>
  </si>
  <si>
    <t xml:space="preserve">    ỦY BAN NHÂN DÂN</t>
  </si>
  <si>
    <t xml:space="preserve">       TỈNH LONG AN</t>
  </si>
  <si>
    <t xml:space="preserve">      ỦY BAN NHÂN DÂN</t>
  </si>
  <si>
    <t>Biểu số 49/CK-NSNN</t>
  </si>
  <si>
    <t xml:space="preserve">   ỦY BAN NHÂN DÂN</t>
  </si>
  <si>
    <t>CHI BỔ SUNG CHO NGÂN SÁCH HUYỆN</t>
  </si>
  <si>
    <t xml:space="preserve">    ỦY BAN NHÂN DÂN                                                                               Biểu số 50/CK-NSNN</t>
  </si>
  <si>
    <t xml:space="preserve">      TỈNH LONG AN</t>
  </si>
  <si>
    <t>Biểu số 53/CK-NSNN</t>
  </si>
  <si>
    <t>DỰ TOÁN THU, SỐ BỔ SUNG VÀ DỰ TOÁN CHI CÂN ĐỐI NGÂN SÁCH TỪNG HUYỆN NĂM 2018</t>
  </si>
  <si>
    <t>Biểu số 55/CK-NSNN</t>
  </si>
  <si>
    <t>Thu ngân  sách huyện hưởng từ các khoản thu phân chia (theo phân cấp HĐND tỉnh)</t>
  </si>
  <si>
    <t>2=3+4</t>
  </si>
  <si>
    <t>8=2+5+6+7</t>
  </si>
  <si>
    <t>Biểu số 51/CK-NSNN</t>
  </si>
  <si>
    <t>Biểu số 47/CK-NSNN</t>
  </si>
  <si>
    <t>Biểu số 52/CK-NSNN</t>
  </si>
  <si>
    <t>TÊN ĐƠN VỊ</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</si>
  <si>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</si>
  <si>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</si>
  <si>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</si>
  <si>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</si>
  <si>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</si>
  <si>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</si>
  <si>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</si>
  <si>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</si>
  <si>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</si>
  <si>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</si>
  <si>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</si>
  <si>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</si>
  <si>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GIAO THÔNG</t>
  </si>
  <si>
    <t>CHI NÔNG NGHIỆP, LÂM NGHIỆP, THỦY LỢI, THỦY SẢN</t>
  </si>
  <si>
    <t>Các đơn vị tô xanh</t>
  </si>
  <si>
    <t>Các đơn vị HCSN quản lý</t>
  </si>
  <si>
    <t xml:space="preserve"> Chị Minh nhập lại sao cho số tổng như vậy là ok</t>
  </si>
  <si>
    <t>Sở NNPTNT</t>
  </si>
  <si>
    <t>Sở GTVT</t>
  </si>
  <si>
    <t>Sở TTTT</t>
  </si>
  <si>
    <t>Sở KH-CN</t>
  </si>
  <si>
    <t>Sở GDĐT</t>
  </si>
  <si>
    <t>Sở LĐTBXH</t>
  </si>
  <si>
    <t>Sở y tế</t>
  </si>
  <si>
    <t>Sở VHTTDL</t>
  </si>
  <si>
    <t>Sở TNMT</t>
  </si>
  <si>
    <t>VP Tỉnh ủy</t>
  </si>
  <si>
    <t>Bệnh viện Đa khoa Long An</t>
  </si>
  <si>
    <t>UBND huyện Vĩnh Hưng</t>
  </si>
  <si>
    <t>UBND TX Kiến Tường</t>
  </si>
  <si>
    <t>Viện kiểm soát tỉnh</t>
  </si>
  <si>
    <t>UBND huyện Đức Huệ</t>
  </si>
  <si>
    <t>UBND huyện Đức Hòa</t>
  </si>
  <si>
    <t>UBND TP Tân An</t>
  </si>
  <si>
    <t>UBND huyện Tân Hưng</t>
  </si>
  <si>
    <t>UND huyện Tân Thạnh</t>
  </si>
  <si>
    <t>UBND huyện Tân Trụ</t>
  </si>
  <si>
    <t>UBND huyện Cần Giuộc</t>
  </si>
  <si>
    <t>UBND huyện Thủ Thừa</t>
  </si>
  <si>
    <t>UBND huyện Thạnh Hóa</t>
  </si>
  <si>
    <t>UBND huyện Mộc Hóa</t>
  </si>
  <si>
    <t>UBND huyện Bến Lức</t>
  </si>
  <si>
    <t>UBND huyện Cần Đước</t>
  </si>
  <si>
    <t>UBND huyện Châu Thành</t>
  </si>
  <si>
    <t>Chi Quản lý Nhà nước</t>
  </si>
  <si>
    <t>Chi Quản lý hành chính</t>
  </si>
  <si>
    <t>Văn phòng UBND tỉnh</t>
  </si>
  <si>
    <t>Sở Nông Nghiệp và PTNT</t>
  </si>
  <si>
    <t xml:space="preserve"> - Văn phòng sở nông nghiệp</t>
  </si>
  <si>
    <t xml:space="preserve"> - Chi cục kiểm lâm</t>
  </si>
  <si>
    <t xml:space="preserve"> - Chi cục QLCL Nông - LS và TS</t>
  </si>
  <si>
    <t xml:space="preserve"> - Chi cục Thuỷ sản</t>
  </si>
  <si>
    <t xml:space="preserve"> - Chi cục Trồng trọt và Bảo vệ thực vật</t>
  </si>
  <si>
    <t xml:space="preserve"> - Chi cục Thuỷ lợi </t>
  </si>
  <si>
    <t xml:space="preserve"> - Chi cục phát triển nông thôn</t>
  </si>
  <si>
    <t>Sở Tư pháp</t>
  </si>
  <si>
    <t>Sở Công thương</t>
  </si>
  <si>
    <t xml:space="preserve"> - Văn phòng sở công thương</t>
  </si>
  <si>
    <t xml:space="preserve"> - Chi Cục quản lý thị trường</t>
  </si>
  <si>
    <t xml:space="preserve"> - Văn phòng sở KHCN</t>
  </si>
  <si>
    <t xml:space="preserve"> - Chi Cục tiêu chuẩn ĐLCL</t>
  </si>
  <si>
    <t xml:space="preserve"> - Văn phòng sở XD</t>
  </si>
  <si>
    <t xml:space="preserve"> - Thanh tra xây dựng</t>
  </si>
  <si>
    <t xml:space="preserve"> - Chi cục giám định xây dựng</t>
  </si>
  <si>
    <t xml:space="preserve"> - Văn phòng sở GTVT</t>
  </si>
  <si>
    <t xml:space="preserve"> - Thanh tra giao thông vận tải</t>
  </si>
  <si>
    <t xml:space="preserve"> - Văn phòng Sở YT</t>
  </si>
  <si>
    <t xml:space="preserve"> - Chi cục Dân số-KHHGĐ</t>
  </si>
  <si>
    <t xml:space="preserve"> - Chi cục An toàn VSTP</t>
  </si>
  <si>
    <t>Sở Lao động TB và Xã hội</t>
  </si>
  <si>
    <t xml:space="preserve"> - Văn phòng Sở LĐTBXH</t>
  </si>
  <si>
    <t xml:space="preserve"> - Ban vì sự tiến bộ phụ nữ</t>
  </si>
  <si>
    <t xml:space="preserve"> - Chi cục PCTN xã hội</t>
  </si>
  <si>
    <t>Sở Văn hóa, thể thao, du lịch</t>
  </si>
  <si>
    <t xml:space="preserve"> - Văn phòng Sở TNMT</t>
  </si>
  <si>
    <t xml:space="preserve"> - Chi cục quản lý đất đai</t>
  </si>
  <si>
    <t xml:space="preserve"> - Chi cục bảo vệ môi trường</t>
  </si>
  <si>
    <t xml:space="preserve"> - Văn phòng Sở NV</t>
  </si>
  <si>
    <t xml:space="preserve"> - Ban Thi đua khen thưởng</t>
  </si>
  <si>
    <t xml:space="preserve"> - Ban Tôn giáo</t>
  </si>
  <si>
    <t xml:space="preserve"> - Chi cục Văn thư lưu trữ</t>
  </si>
  <si>
    <t>Thanh Tra tỉnh</t>
  </si>
  <si>
    <t>Đoàn thể</t>
  </si>
  <si>
    <t>Mặt Trận Tổ quốc</t>
  </si>
  <si>
    <t>Tỉnh Đoàn</t>
  </si>
  <si>
    <t>Hội Liên hiệp Phụ nữ</t>
  </si>
  <si>
    <t>Hội Nông dân</t>
  </si>
  <si>
    <t>Hội Cựu chiến binh</t>
  </si>
  <si>
    <t>Chi trích lập Quỹ</t>
  </si>
  <si>
    <t>Quỹ xúc tiến thương mại</t>
  </si>
  <si>
    <t>Quỹ hỗ trợ phát triển hợp tác xã</t>
  </si>
  <si>
    <t>Kinh phí xúc tiến đầu tư</t>
  </si>
  <si>
    <t>Kinh phí khuyến công</t>
  </si>
  <si>
    <t>Quỹ hỗ trợ nông dân</t>
  </si>
  <si>
    <t>Phạt vi phạm hành chính</t>
  </si>
  <si>
    <t>- Văn phòng sở</t>
  </si>
  <si>
    <t>- Chi cục trồng trọt và BVTV</t>
  </si>
  <si>
    <t>- Chi cục chăn nuôi và Thú y</t>
  </si>
  <si>
    <t>- Chi cục quản lý thị trường</t>
  </si>
  <si>
    <t>- Thanh tra Xây dựng</t>
  </si>
  <si>
    <t xml:space="preserve">Sở Văn hóa, Thể thao và Du lịch </t>
  </si>
  <si>
    <t>- Chi cục tiêu chuẩn ĐLCL</t>
  </si>
  <si>
    <t>Kinh phí đảm bảo trật tự ATGT</t>
  </si>
  <si>
    <t>- Văn phòng Sở</t>
  </si>
  <si>
    <t>- Thanh tra Giao thông - VT</t>
  </si>
  <si>
    <t>- Cảng vụ Đường thủy nội địa</t>
  </si>
  <si>
    <t>Chi hỗ trợ Hội</t>
  </si>
  <si>
    <t>Hội đặc thù</t>
  </si>
  <si>
    <t>Liên Minh hợp tác xã</t>
  </si>
  <si>
    <t>Hội Liên hiệp Văn học Ngệ thuật</t>
  </si>
  <si>
    <t>Hội Người mù</t>
  </si>
  <si>
    <t>Hội Chữ thập đỏ</t>
  </si>
  <si>
    <t>Hội Nhà báo</t>
  </si>
  <si>
    <t>Liên hiệp các Hội Khoa học kỹ thuật</t>
  </si>
  <si>
    <t>Hội Cựu thanh niên xung phong</t>
  </si>
  <si>
    <t>Hội Khuyến học</t>
  </si>
  <si>
    <t>Hội Nạn nhân chất độc da cam</t>
  </si>
  <si>
    <t>Ban Đại diện Hội người cao tuổi</t>
  </si>
  <si>
    <t>Hỗ trợ hội</t>
  </si>
  <si>
    <t>Hội bảo vệ QLNTD</t>
  </si>
  <si>
    <t>Hội Thân nhân kiều bào</t>
  </si>
  <si>
    <t>Hội Cựu giáo chức</t>
  </si>
  <si>
    <t>Chi sự nghiệp</t>
  </si>
  <si>
    <t>NVCM (VPS) L 01 - 03</t>
  </si>
  <si>
    <t>Cơ Giới hóa nông nghiệp</t>
  </si>
  <si>
    <t>Ứng dụng công nghệ cao</t>
  </si>
  <si>
    <t>Cánh đồng lớn</t>
  </si>
  <si>
    <t xml:space="preserve">Trung tâm khuyến nông </t>
  </si>
  <si>
    <t>T.T quản lý khai thác Công trình TL LA</t>
  </si>
  <si>
    <t>Công trình thủy lợi</t>
  </si>
  <si>
    <t>* Sự nghiệp giao thông</t>
  </si>
  <si>
    <t>* Chi công tác quy hoạch</t>
  </si>
  <si>
    <t>Sự nghiệp đo đạc</t>
  </si>
  <si>
    <t>Khu Bảo tồn đất ngập nước láng sen</t>
  </si>
  <si>
    <t>T.t Dạy nghề và hỗ trợ nông dân</t>
  </si>
  <si>
    <t>T.Tâm Trợ giúp Pháp lý Nhà nước</t>
  </si>
  <si>
    <t>T.Tâm Phục vụ hành chính công</t>
  </si>
  <si>
    <t>T.Tâm ƯDTBKH &amp; công nghệ</t>
  </si>
  <si>
    <t>T.Tâm xúc tiến thương mại</t>
  </si>
  <si>
    <t>T.Tâm Kỹ thuật TCĐL Chất lượng</t>
  </si>
  <si>
    <t>T.Tâm Thông tin và thống kê KHCN</t>
  </si>
  <si>
    <t>Ban quản lý cửa khẩu quốc tế Bình Hiệp</t>
  </si>
  <si>
    <t>* Sự nghiệp môi trường</t>
  </si>
  <si>
    <t xml:space="preserve"> Sở Nông nghiệp và PTNT</t>
  </si>
  <si>
    <t xml:space="preserve"> - Khu bảo tồn ĐNNLS</t>
  </si>
  <si>
    <t xml:space="preserve">Sở Tài nguyên và MT </t>
  </si>
  <si>
    <t>Ban QL khu kinh tế</t>
  </si>
  <si>
    <t xml:space="preserve"> - Khuyết tật</t>
  </si>
  <si>
    <t>Ngoài cơ cấu :</t>
  </si>
  <si>
    <t xml:space="preserve"> - Vượt giờ</t>
  </si>
  <si>
    <t xml:space="preserve"> - Học bổng HS</t>
  </si>
  <si>
    <t xml:space="preserve"> - Nâng lương</t>
  </si>
  <si>
    <t xml:space="preserve"> - Giáo viên ra trường</t>
  </si>
  <si>
    <t>- Chính sách dân số 2016-2020</t>
  </si>
  <si>
    <t xml:space="preserve"> - Hỗ trợ HS QĐ 12/2013/QĐ-CP</t>
  </si>
  <si>
    <t xml:space="preserve"> - Hỗ trợ GV (NĐ 61/2006/NĐ-CP)</t>
  </si>
  <si>
    <t xml:space="preserve"> - Hỗ trợ GV (NĐ 19/2013/NĐ-CP)</t>
  </si>
  <si>
    <t xml:space="preserve"> - Hỗ trợ GV (NĐ 116/2010/NĐ-CP)</t>
  </si>
  <si>
    <t xml:space="preserve"> - Hội khỏe phù đổng toàn quốc</t>
  </si>
  <si>
    <t>Trường TC nghề ĐTM (493)</t>
  </si>
  <si>
    <t>Trường TC nghề Cần Giuộc (410)</t>
  </si>
  <si>
    <t>Trường Cao đẳng nghề LA (1.591)</t>
  </si>
  <si>
    <t>T.Tâm Dịch vụ Việc làm Long An (326)</t>
  </si>
  <si>
    <t xml:space="preserve">Văn phòng GTVL </t>
  </si>
  <si>
    <t>Trường TC nghề Đức Hòa (1.515)</t>
  </si>
  <si>
    <t>Trung tâm giáo dục thường xuyên</t>
  </si>
  <si>
    <t>Trường Thể dục thể thao</t>
  </si>
  <si>
    <t>Chính sách dân số 2016-2020</t>
  </si>
  <si>
    <t>Ban bảo vệ sức khỏe Nội A</t>
  </si>
  <si>
    <t>Phòng chống SDD TE</t>
  </si>
  <si>
    <t>Thuốc tâm thần và chăm sóc SK tâm thần cộng đồng</t>
  </si>
  <si>
    <t>Nâng cấp Trang thiết bị YT</t>
  </si>
  <si>
    <t>KP KCB cho người nghèo, biên giới</t>
  </si>
  <si>
    <t>Người cao tuổi</t>
  </si>
  <si>
    <t>T.Tâm TTGD sức khỏe</t>
  </si>
  <si>
    <t>T.Tâm DS - KHHGĐ huyện, TX, thành phố</t>
  </si>
  <si>
    <t>Văn hóa khác</t>
  </si>
  <si>
    <t>VIII</t>
  </si>
  <si>
    <t xml:space="preserve">Chi sự nghiệp khoa học </t>
  </si>
  <si>
    <t>IX</t>
  </si>
  <si>
    <t>Sự nghiệp TDTT tại VPS</t>
  </si>
  <si>
    <t>X</t>
  </si>
  <si>
    <t>Chi đảm bảo xã hội</t>
  </si>
  <si>
    <t xml:space="preserve">Chi đối tượng chính sách </t>
  </si>
  <si>
    <t>Ban quản lý nghĩa trang</t>
  </si>
  <si>
    <t>Cơ sở cai nghiện ma túy</t>
  </si>
  <si>
    <t>T.Tâm bảo trợ xã hội</t>
  </si>
  <si>
    <t>Trung tâm cung cấp Dịch vụ công tác xã hội</t>
  </si>
  <si>
    <t>Giải quyết việc làm giảm nghèo</t>
  </si>
  <si>
    <t>Phòng chống Ma tuý</t>
  </si>
  <si>
    <t>Phòng chống mại dâm</t>
  </si>
  <si>
    <t>P:\CONG KHAI NGAN SACH\So lieu 2016-2018\Cong khai QT2016- DT2018\[Long An DT 2018.xlsx]48-CK NSNN</t>
  </si>
  <si>
    <r>
      <t>Chi đầu tư từ</t>
    </r>
    <r>
      <rPr>
        <sz val="11"/>
        <color theme="1"/>
        <rFont val="Times New Roman"/>
        <family val="1"/>
      </rPr>
      <t> </t>
    </r>
    <r>
      <rPr>
        <i/>
        <sz val="11"/>
        <color theme="1"/>
        <rFont val="Times New Roman"/>
        <family val="1"/>
      </rPr>
      <t>nguồn thu tiền sử dụng đất</t>
    </r>
  </si>
  <si>
    <r>
      <t>Ghi chú:</t>
    </r>
    <r>
      <rPr>
        <i/>
        <sz val="11"/>
        <color theme="1"/>
        <rFont val="Times New Roman"/>
        <family val="1"/>
      </rPr>
      <t> </t>
    </r>
  </si>
  <si>
    <t>Chi thường xuyên, trong đó:</t>
  </si>
  <si>
    <t>Một số cơ quan, đơn vị</t>
  </si>
</sst>
</file>

<file path=xl/styles.xml><?xml version="1.0" encoding="utf-8"?>
<styleSheet xmlns="http://schemas.openxmlformats.org/spreadsheetml/2006/main">
  <numFmts count="10">
    <numFmt numFmtId="44" formatCode="_(&quot;$&quot;* #,##0.00_);_(&quot;$&quot;* \(#,##0.00\);_(&quot;$&quot;* &quot;-&quot;??_);_(@_)"/>
    <numFmt numFmtId="43" formatCode="_(* #,##0.00_);_(* \(#,##0.00\);_(* &quot;-&quot;??_);_(@_)"/>
    <numFmt numFmtId="164" formatCode="_-* #,##0.00_-;\-* #,##0.00_-;_-* &quot;-&quot;??_-;_-@_-"/>
    <numFmt numFmtId="165" formatCode="0.0%"/>
    <numFmt numFmtId="166" formatCode="_-* #,##0_-;\-* #,##0_-;_-* &quot;-&quot;??_-;_-@_-"/>
    <numFmt numFmtId="167" formatCode="_-* #,##0.000_-;\-* #,##0.000_-;_-* &quot;-&quot;??_-;_-@_-"/>
    <numFmt numFmtId="168" formatCode="_-* #,##0.0000_-;\-* #,##0.0000_-;_-* &quot;-&quot;??_-;_-@_-"/>
    <numFmt numFmtId="169" formatCode="_-* #,##0.0_-;\-* #,##0.0_-;_-* &quot;-&quot;??_-;_-@_-"/>
    <numFmt numFmtId="170" formatCode="###,###,###"/>
    <numFmt numFmtId="171" formatCode="#,###;\-#,###;&quot;&quot;;_(@_)"/>
  </numFmts>
  <fonts count="93">
    <font>
      <sz val="11"/>
      <color theme="1"/>
      <name val="Calibri"/>
      <family val="2"/>
      <charset val="163"/>
      <scheme val="minor"/>
    </font>
    <font>
      <b/>
      <sz val="10"/>
      <name val="Times New Roman"/>
      <family val="1"/>
    </font>
    <font>
      <sz val="11"/>
      <name val="Times New Roman"/>
      <family val="1"/>
    </font>
    <font>
      <b/>
      <sz val="14"/>
      <name val="Times New Roman"/>
      <family val="1"/>
    </font>
    <font>
      <sz val="14"/>
      <name val="Times New Roman"/>
      <family val="1"/>
    </font>
    <font>
      <b/>
      <sz val="11"/>
      <name val="Times New Roman"/>
      <family val="1"/>
    </font>
    <font>
      <i/>
      <sz val="11"/>
      <name val="Times New Roman"/>
      <family val="1"/>
    </font>
    <font>
      <sz val="11"/>
      <color theme="1"/>
      <name val="Times New Roman"/>
      <family val="1"/>
    </font>
    <font>
      <b/>
      <sz val="11"/>
      <color rgb="FF0D68B1"/>
      <name val="Times New Roman"/>
      <family val="1"/>
    </font>
    <font>
      <b/>
      <sz val="11"/>
      <color rgb="FF333333"/>
      <name val="Times New Roman"/>
      <family val="1"/>
    </font>
    <font>
      <i/>
      <sz val="11"/>
      <color rgb="FF333333"/>
      <name val="Times New Roman"/>
      <family val="1"/>
    </font>
    <font>
      <sz val="11"/>
      <color rgb="FF333333"/>
      <name val="Times New Roman"/>
      <family val="1"/>
    </font>
    <font>
      <b/>
      <sz val="14"/>
      <color rgb="FF0D68B1"/>
      <name val="Times New Roman"/>
      <family val="1"/>
    </font>
    <font>
      <b/>
      <i/>
      <sz val="11"/>
      <name val="Times New Roman"/>
      <family val="1"/>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b/>
      <sz val="14"/>
      <color rgb="FF000000"/>
      <name val="Times New Roman"/>
      <family val="1"/>
    </font>
    <font>
      <sz val="10"/>
      <color rgb="FF000000"/>
      <name val="Times New Roman"/>
      <family val="1"/>
    </font>
    <font>
      <sz val="10"/>
      <color theme="1"/>
      <name val="Calibri"/>
      <family val="2"/>
      <charset val="163"/>
      <scheme val="minor"/>
    </font>
    <font>
      <b/>
      <sz val="12"/>
      <name val="Times New Roman"/>
      <family val="1"/>
    </font>
    <font>
      <i/>
      <sz val="12"/>
      <name val="Times New Roman"/>
      <family val="1"/>
    </font>
    <font>
      <sz val="12"/>
      <name val="Times New Roman"/>
      <family val="1"/>
    </font>
    <font>
      <b/>
      <i/>
      <sz val="12"/>
      <name val="Times New Roman"/>
      <family val="1"/>
    </font>
    <font>
      <sz val="12"/>
      <color theme="1"/>
      <name val="Times New Roman"/>
      <family val="1"/>
    </font>
    <font>
      <b/>
      <sz val="11"/>
      <color theme="1"/>
      <name val="Calibri"/>
      <family val="2"/>
      <charset val="163"/>
      <scheme val="minor"/>
    </font>
    <font>
      <b/>
      <sz val="10"/>
      <color rgb="FF000000"/>
      <name val="Times New Roman"/>
      <family val="1"/>
    </font>
    <font>
      <b/>
      <sz val="10"/>
      <color theme="1"/>
      <name val="Calibri"/>
      <family val="2"/>
      <charset val="163"/>
      <scheme val="minor"/>
    </font>
    <font>
      <sz val="11"/>
      <color theme="1"/>
      <name val="Calibri"/>
      <family val="2"/>
      <charset val="163"/>
      <scheme val="minor"/>
    </font>
    <font>
      <sz val="11"/>
      <color theme="9" tint="-0.249977111117893"/>
      <name val="Times New Roman"/>
      <family val="1"/>
    </font>
    <font>
      <i/>
      <sz val="11"/>
      <color theme="9" tint="-0.249977111117893"/>
      <name val="Times New Roman"/>
      <family val="1"/>
    </font>
    <font>
      <sz val="11"/>
      <color rgb="FFFF0000"/>
      <name val="Times New Roman"/>
      <family val="1"/>
    </font>
    <font>
      <i/>
      <sz val="11"/>
      <color rgb="FFFF0000"/>
      <name val="Times New Roman"/>
      <family val="1"/>
    </font>
    <font>
      <b/>
      <sz val="11"/>
      <color theme="1"/>
      <name val="Times New Roman"/>
      <family val="1"/>
    </font>
    <font>
      <b/>
      <sz val="11"/>
      <color rgb="FFFF0000"/>
      <name val="Times New Roman"/>
      <family val="1"/>
    </font>
    <font>
      <sz val="12"/>
      <color rgb="FFFF0000"/>
      <name val="Times New Roman"/>
      <family val="1"/>
    </font>
    <font>
      <sz val="11"/>
      <color rgb="FF0070C0"/>
      <name val="Times New Roman"/>
      <family val="1"/>
    </font>
    <font>
      <sz val="11"/>
      <color rgb="FF0070C0"/>
      <name val="Calibri"/>
      <family val="2"/>
      <charset val="163"/>
      <scheme val="minor"/>
    </font>
    <font>
      <sz val="11"/>
      <color rgb="FF000000"/>
      <name val="Times New Roman"/>
      <family val="1"/>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name val="Calibri"/>
      <family val="2"/>
      <charset val="163"/>
      <scheme val="minor"/>
    </font>
    <font>
      <i/>
      <sz val="11"/>
      <color theme="1"/>
      <name val="Calibri"/>
      <family val="2"/>
      <scheme val="minor"/>
    </font>
    <font>
      <sz val="12"/>
      <color rgb="FF002060"/>
      <name val="Times New Roman"/>
      <family val="1"/>
    </font>
    <font>
      <sz val="12"/>
      <color rgb="FF0070C0"/>
      <name val="Times New Roman"/>
      <family val="1"/>
    </font>
    <font>
      <b/>
      <sz val="11"/>
      <color rgb="FF000000"/>
      <name val="Times New Roman"/>
      <family val="1"/>
    </font>
    <font>
      <b/>
      <sz val="12"/>
      <color theme="1"/>
      <name val="Times New Roman"/>
      <family val="1"/>
    </font>
    <font>
      <b/>
      <sz val="12"/>
      <color rgb="FFFF0000"/>
      <name val="Times New Roman"/>
      <family val="1"/>
    </font>
    <font>
      <i/>
      <sz val="11"/>
      <color rgb="FF0070C0"/>
      <name val="Times New Roman"/>
      <family val="1"/>
    </font>
    <font>
      <sz val="14"/>
      <color theme="1"/>
      <name val="Times New Roman"/>
      <family val="1"/>
    </font>
    <font>
      <b/>
      <sz val="11.5"/>
      <color rgb="FF0000FF"/>
      <name val="Times New Roman"/>
      <family val="1"/>
    </font>
    <font>
      <b/>
      <sz val="11.5"/>
      <name val="Times New Roman"/>
      <family val="1"/>
    </font>
    <font>
      <sz val="11.5"/>
      <color rgb="FFFF0000"/>
      <name val="Times New Roman"/>
      <family val="1"/>
    </font>
    <font>
      <sz val="11.5"/>
      <name val="Times New Roman"/>
      <family val="1"/>
    </font>
    <font>
      <sz val="12"/>
      <name val="times new roman"/>
      <family val="2"/>
      <charset val="163"/>
    </font>
    <font>
      <sz val="11.5"/>
      <color theme="3"/>
      <name val="Times New Roman"/>
      <family val="1"/>
    </font>
    <font>
      <sz val="12"/>
      <color theme="3"/>
      <name val="Times New Roman"/>
      <family val="1"/>
    </font>
    <font>
      <sz val="12"/>
      <color rgb="FFFF0000"/>
      <name val="times new roman"/>
      <family val="2"/>
      <charset val="163"/>
    </font>
    <font>
      <sz val="12"/>
      <color theme="1"/>
      <name val="times new roman"/>
      <family val="2"/>
      <charset val="163"/>
    </font>
    <font>
      <sz val="12.5"/>
      <name val="Times New Roman"/>
      <family val="1"/>
    </font>
    <font>
      <b/>
      <sz val="10.5"/>
      <name val="Times New Roman"/>
      <family val="1"/>
    </font>
    <font>
      <sz val="10.5"/>
      <name val="Times New Roman"/>
      <family val="1"/>
    </font>
    <font>
      <sz val="11.5"/>
      <color rgb="FF0000FF"/>
      <name val="Times New Roman"/>
      <family val="1"/>
    </font>
    <font>
      <sz val="12"/>
      <color rgb="FF0000FF"/>
      <name val="Times New Roman"/>
      <family val="1"/>
    </font>
    <font>
      <sz val="10.5"/>
      <color rgb="FF0000FF"/>
      <name val="Times New Roman"/>
      <family val="1"/>
    </font>
    <font>
      <i/>
      <sz val="10.5"/>
      <name val="Times New Roman"/>
      <family val="1"/>
    </font>
    <font>
      <b/>
      <i/>
      <sz val="10.5"/>
      <name val="Times New Roman"/>
      <family val="1"/>
    </font>
    <font>
      <b/>
      <i/>
      <sz val="11.5"/>
      <name val="Times New Roman"/>
      <family val="1"/>
    </font>
    <font>
      <b/>
      <sz val="11"/>
      <color rgb="FF0070C0"/>
      <name val="Calibri"/>
      <family val="2"/>
      <scheme val="minor"/>
    </font>
    <font>
      <i/>
      <sz val="11"/>
      <color theme="1"/>
      <name val="Calibri"/>
      <family val="2"/>
      <charset val="163"/>
      <scheme val="minor"/>
    </font>
    <font>
      <sz val="12"/>
      <name val=".VnArial Narrow"/>
    </font>
    <font>
      <sz val="10"/>
      <name val="Times New Roman"/>
      <family val="1"/>
    </font>
    <font>
      <u/>
      <sz val="12"/>
      <name val="Times New Roman"/>
      <family val="1"/>
    </font>
    <font>
      <sz val="11"/>
      <name val="Times New Roman"/>
      <family val="1"/>
      <charset val="163"/>
    </font>
    <font>
      <sz val="13"/>
      <name val=".VnTime"/>
      <family val="2"/>
    </font>
    <font>
      <sz val="10"/>
      <name val="Arial"/>
      <family val="2"/>
      <charset val="163"/>
    </font>
    <font>
      <sz val="12"/>
      <name val=".VnArial Narrow"/>
      <family val="2"/>
    </font>
    <font>
      <sz val="12"/>
      <name val=".VnTime"/>
      <family val="2"/>
    </font>
    <font>
      <b/>
      <sz val="14"/>
      <name val="Times New Roman"/>
      <family val="1"/>
      <charset val="163"/>
    </font>
    <font>
      <b/>
      <u/>
      <sz val="12"/>
      <name val="Times New Roman"/>
      <family val="1"/>
    </font>
    <font>
      <b/>
      <sz val="12.5"/>
      <name val="Times New Roman"/>
      <family val="1"/>
    </font>
    <font>
      <b/>
      <sz val="12"/>
      <color rgb="FF0000FF"/>
      <name val="Times New Roman"/>
      <family val="1"/>
    </font>
    <font>
      <sz val="11"/>
      <color rgb="FF0000FF"/>
      <name val="Times New Roman"/>
      <family val="1"/>
    </font>
    <font>
      <sz val="8"/>
      <color indexed="81"/>
      <name val="Tahoma"/>
      <family val="2"/>
    </font>
    <font>
      <sz val="12"/>
      <color theme="1"/>
      <name val="Calibri"/>
      <family val="2"/>
      <charset val="163"/>
      <scheme val="minor"/>
    </font>
    <font>
      <b/>
      <sz val="14"/>
      <color theme="1"/>
      <name val="Times New Roman"/>
      <family val="1"/>
    </font>
    <font>
      <i/>
      <sz val="11"/>
      <color theme="1"/>
      <name val="Times New Roman"/>
      <family val="1"/>
    </font>
    <font>
      <b/>
      <i/>
      <sz val="11"/>
      <color theme="1"/>
      <name val="Times New Roman"/>
      <family val="1"/>
    </font>
    <font>
      <i/>
      <sz val="12"/>
      <color theme="1"/>
      <name val="Times New Roman"/>
      <family val="1"/>
    </font>
    <font>
      <sz val="11.5"/>
      <color theme="1"/>
      <name val="Times New Roman"/>
      <family val="1"/>
    </font>
  </fonts>
  <fills count="8">
    <fill>
      <patternFill patternType="none"/>
    </fill>
    <fill>
      <patternFill patternType="gray125"/>
    </fill>
    <fill>
      <patternFill patternType="solid">
        <fgColor rgb="FFFFFFFF"/>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2">
    <xf numFmtId="0" fontId="0" fillId="0" borderId="0"/>
    <xf numFmtId="9" fontId="29" fillId="0" borderId="0" applyFont="0" applyFill="0" applyBorder="0" applyAlignment="0" applyProtection="0"/>
    <xf numFmtId="164" fontId="29" fillId="0" borderId="0" applyFont="0" applyFill="0" applyBorder="0" applyAlignment="0" applyProtection="0"/>
    <xf numFmtId="0" fontId="73" fillId="0" borderId="0"/>
    <xf numFmtId="43" fontId="76" fillId="0" borderId="0" applyFont="0" applyFill="0" applyBorder="0" applyAlignment="0" applyProtection="0"/>
    <xf numFmtId="44" fontId="76" fillId="0" borderId="0" applyFont="0" applyFill="0" applyBorder="0" applyAlignment="0" applyProtection="0"/>
    <xf numFmtId="171" fontId="77" fillId="0" borderId="0" applyFont="0" applyFill="0" applyBorder="0" applyAlignment="0" applyProtection="0"/>
    <xf numFmtId="0" fontId="78" fillId="0" borderId="0"/>
    <xf numFmtId="0" fontId="79" fillId="0" borderId="0"/>
    <xf numFmtId="0" fontId="29" fillId="0" borderId="0"/>
    <xf numFmtId="0" fontId="80" fillId="0" borderId="0"/>
    <xf numFmtId="0" fontId="76" fillId="0" borderId="0"/>
  </cellStyleXfs>
  <cellXfs count="839">
    <xf numFmtId="0" fontId="0" fillId="0" borderId="0" xfId="0"/>
    <xf numFmtId="0" fontId="2" fillId="0" borderId="0" xfId="0" applyFont="1" applyAlignment="1">
      <alignment vertical="center"/>
    </xf>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6" fillId="2" borderId="1" xfId="0" applyFont="1" applyFill="1" applyBorder="1" applyAlignment="1">
      <alignment vertical="center" wrapText="1"/>
    </xf>
    <xf numFmtId="0" fontId="6" fillId="0" borderId="0" xfId="0" applyFont="1" applyAlignment="1">
      <alignment vertical="center"/>
    </xf>
    <xf numFmtId="0" fontId="5" fillId="2" borderId="1" xfId="0" applyFont="1" applyFill="1" applyBorder="1" applyAlignment="1">
      <alignment horizontal="center" vertical="center" wrapText="1"/>
    </xf>
    <xf numFmtId="0" fontId="7" fillId="0" borderId="0" xfId="0" applyFont="1" applyAlignment="1">
      <alignment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10" fillId="0" borderId="0" xfId="0" applyFont="1" applyAlignment="1">
      <alignment vertical="center"/>
    </xf>
    <xf numFmtId="0" fontId="5" fillId="2" borderId="1" xfId="0" applyFont="1" applyFill="1" applyBorder="1" applyAlignment="1">
      <alignment vertical="center" wrapText="1"/>
    </xf>
    <xf numFmtId="0" fontId="13" fillId="0" borderId="0" xfId="0" applyFont="1" applyAlignment="1">
      <alignment vertical="center"/>
    </xf>
    <xf numFmtId="0" fontId="2" fillId="0" borderId="0" xfId="0" applyFont="1" applyAlignment="1">
      <alignment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alignment vertical="center" wrapText="1"/>
    </xf>
    <xf numFmtId="0" fontId="13" fillId="0" borderId="0" xfId="0" applyFont="1" applyAlignment="1"/>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7" fillId="0" borderId="0" xfId="0" applyFont="1" applyAlignment="1">
      <alignment vertical="center" wrapText="1"/>
    </xf>
    <xf numFmtId="0" fontId="14" fillId="0" borderId="0" xfId="0" applyFont="1" applyAlignment="1">
      <alignment horizontal="right" vertical="center"/>
    </xf>
    <xf numFmtId="0" fontId="15" fillId="0" borderId="0" xfId="0" applyFont="1" applyAlignment="1">
      <alignment horizontal="right" vertical="center"/>
    </xf>
    <xf numFmtId="0" fontId="17" fillId="0" borderId="0" xfId="0" applyFont="1" applyAlignment="1">
      <alignment horizontal="left" vertical="center"/>
    </xf>
    <xf numFmtId="0" fontId="16"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5" fillId="0" borderId="1" xfId="0" applyFont="1" applyBorder="1" applyAlignment="1">
      <alignment vertical="center" wrapText="1"/>
    </xf>
    <xf numFmtId="0" fontId="15" fillId="0" borderId="0" xfId="0" applyFont="1" applyAlignment="1">
      <alignment horizontal="left" vertical="center"/>
    </xf>
    <xf numFmtId="0" fontId="17" fillId="0" borderId="0" xfId="0" applyFont="1" applyAlignment="1">
      <alignment vertical="center"/>
    </xf>
    <xf numFmtId="0" fontId="16" fillId="0" borderId="0" xfId="0" applyFont="1" applyAlignment="1">
      <alignment vertical="center"/>
    </xf>
    <xf numFmtId="0" fontId="0" fillId="0" borderId="0" xfId="0" applyAlignment="1">
      <alignment wrapText="1"/>
    </xf>
    <xf numFmtId="0" fontId="0" fillId="0" borderId="1" xfId="0" applyBorder="1" applyAlignment="1">
      <alignment vertical="top" wrapText="1"/>
    </xf>
    <xf numFmtId="0" fontId="0" fillId="0" borderId="0" xfId="0" applyFont="1"/>
    <xf numFmtId="0" fontId="19" fillId="0" borderId="1" xfId="0" applyFont="1" applyBorder="1" applyAlignment="1">
      <alignment horizontal="center" vertical="center" wrapText="1"/>
    </xf>
    <xf numFmtId="0" fontId="20" fillId="0" borderId="0" xfId="0" applyFont="1"/>
    <xf numFmtId="0" fontId="0" fillId="0" borderId="0" xfId="0" applyAlignment="1">
      <alignment horizontal="left"/>
    </xf>
    <xf numFmtId="0" fontId="22" fillId="0" borderId="0" xfId="0" applyFont="1" applyAlignment="1">
      <alignment horizontal="right" vertical="center"/>
    </xf>
    <xf numFmtId="0" fontId="21"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1" fillId="0" borderId="0" xfId="0" applyFont="1" applyAlignment="1">
      <alignment horizontal="right" vertical="center"/>
    </xf>
    <xf numFmtId="0" fontId="16" fillId="0" borderId="0" xfId="0" applyFont="1" applyAlignment="1">
      <alignment horizontal="justify" vertical="center"/>
    </xf>
    <xf numFmtId="0" fontId="0" fillId="0" borderId="0" xfId="0" applyAlignment="1">
      <alignment vertical="center"/>
    </xf>
    <xf numFmtId="0" fontId="5" fillId="2" borderId="1" xfId="0" applyFont="1" applyFill="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5" fillId="2" borderId="8" xfId="0" applyFont="1" applyFill="1" applyBorder="1" applyAlignment="1">
      <alignment horizontal="center" vertical="center" wrapText="1"/>
    </xf>
    <xf numFmtId="0" fontId="5" fillId="2" borderId="8" xfId="0" applyFont="1" applyFill="1" applyBorder="1" applyAlignment="1">
      <alignment vertical="center" wrapText="1"/>
    </xf>
    <xf numFmtId="0" fontId="2" fillId="2" borderId="8" xfId="0" applyFont="1" applyFill="1" applyBorder="1" applyAlignment="1">
      <alignment horizontal="center" vertical="center" wrapText="1"/>
    </xf>
    <xf numFmtId="0" fontId="2" fillId="2" borderId="8"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9" xfId="0" applyFont="1" applyFill="1" applyBorder="1" applyAlignment="1">
      <alignment vertical="center" wrapText="1"/>
    </xf>
    <xf numFmtId="0" fontId="2" fillId="2" borderId="7" xfId="0" applyFont="1" applyFill="1" applyBorder="1" applyAlignment="1">
      <alignment horizontal="center" vertical="center" wrapText="1"/>
    </xf>
    <xf numFmtId="0" fontId="6" fillId="2" borderId="8" xfId="0" applyFont="1" applyFill="1" applyBorder="1" applyAlignment="1">
      <alignment vertical="center" wrapText="1"/>
    </xf>
    <xf numFmtId="0" fontId="2" fillId="2" borderId="9" xfId="0" applyFont="1" applyFill="1" applyBorder="1" applyAlignment="1">
      <alignment horizontal="center" vertical="center" wrapText="1"/>
    </xf>
    <xf numFmtId="0" fontId="6" fillId="2" borderId="9" xfId="0" applyFont="1" applyFill="1" applyBorder="1" applyAlignment="1">
      <alignment vertical="center" wrapText="1"/>
    </xf>
    <xf numFmtId="0" fontId="6" fillId="2" borderId="8"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8" xfId="0" applyFont="1" applyFill="1" applyBorder="1" applyAlignment="1">
      <alignment vertical="center" wrapText="1"/>
    </xf>
    <xf numFmtId="0" fontId="2" fillId="2" borderId="9" xfId="0" applyFont="1" applyFill="1" applyBorder="1" applyAlignment="1">
      <alignment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8" xfId="0" applyFont="1" applyBorder="1" applyAlignment="1">
      <alignment vertical="center" wrapText="1"/>
    </xf>
    <xf numFmtId="0" fontId="16" fillId="0" borderId="8" xfId="0" applyFont="1" applyBorder="1" applyAlignment="1">
      <alignment horizontal="center" vertical="center" wrapText="1"/>
    </xf>
    <xf numFmtId="0" fontId="16" fillId="0" borderId="8" xfId="0" applyFont="1" applyBorder="1" applyAlignment="1">
      <alignment vertical="center" wrapText="1"/>
    </xf>
    <xf numFmtId="0" fontId="15" fillId="0" borderId="8"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vertical="center" wrapText="1"/>
    </xf>
    <xf numFmtId="0" fontId="16" fillId="0" borderId="9" xfId="0" applyFont="1" applyBorder="1" applyAlignment="1">
      <alignment horizontal="center" vertical="center" wrapText="1"/>
    </xf>
    <xf numFmtId="0" fontId="5"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2" fontId="14" fillId="0" borderId="7" xfId="0" applyNumberFormat="1" applyFont="1" applyBorder="1" applyAlignment="1">
      <alignment horizontal="center" vertical="center" wrapText="1"/>
    </xf>
    <xf numFmtId="2" fontId="14" fillId="0" borderId="7" xfId="0" applyNumberFormat="1" applyFont="1" applyBorder="1" applyAlignment="1">
      <alignment vertical="center" wrapText="1"/>
    </xf>
    <xf numFmtId="2" fontId="14" fillId="0" borderId="8" xfId="0" applyNumberFormat="1" applyFont="1" applyBorder="1" applyAlignment="1">
      <alignment horizontal="center" vertical="center" wrapText="1"/>
    </xf>
    <xf numFmtId="2" fontId="14" fillId="0" borderId="8" xfId="0" applyNumberFormat="1" applyFont="1" applyBorder="1" applyAlignment="1">
      <alignment vertical="center" wrapText="1"/>
    </xf>
    <xf numFmtId="2" fontId="16" fillId="0" borderId="8" xfId="0" applyNumberFormat="1" applyFont="1" applyBorder="1" applyAlignment="1">
      <alignment horizontal="center" vertical="center" wrapText="1"/>
    </xf>
    <xf numFmtId="2" fontId="14" fillId="0" borderId="9" xfId="0" applyNumberFormat="1" applyFont="1" applyBorder="1" applyAlignment="1">
      <alignment horizontal="center" vertical="center" wrapText="1"/>
    </xf>
    <xf numFmtId="2" fontId="14" fillId="0" borderId="9" xfId="0" applyNumberFormat="1" applyFont="1" applyBorder="1" applyAlignment="1">
      <alignment vertical="center" wrapText="1"/>
    </xf>
    <xf numFmtId="0" fontId="16" fillId="0" borderId="7" xfId="0" applyFont="1" applyBorder="1" applyAlignment="1">
      <alignment vertical="center" wrapText="1"/>
    </xf>
    <xf numFmtId="0" fontId="16" fillId="0" borderId="9" xfId="0" applyFont="1" applyBorder="1" applyAlignment="1">
      <alignment vertical="center" wrapText="1"/>
    </xf>
    <xf numFmtId="0" fontId="27" fillId="0" borderId="1" xfId="0" applyFont="1" applyBorder="1" applyAlignment="1">
      <alignment horizontal="center" vertical="center" wrapText="1"/>
    </xf>
    <xf numFmtId="0" fontId="28" fillId="0" borderId="0" xfId="0" applyFont="1"/>
    <xf numFmtId="0" fontId="0" fillId="0" borderId="8" xfId="0" applyBorder="1" applyAlignment="1">
      <alignment vertical="top" wrapText="1"/>
    </xf>
    <xf numFmtId="0" fontId="0" fillId="0" borderId="9" xfId="0" applyBorder="1" applyAlignment="1">
      <alignment vertical="top" wrapText="1"/>
    </xf>
    <xf numFmtId="0" fontId="16" fillId="0" borderId="10" xfId="0" applyFont="1" applyBorder="1" applyAlignment="1">
      <alignment horizontal="center" vertical="center" wrapText="1"/>
    </xf>
    <xf numFmtId="0" fontId="16" fillId="0" borderId="10" xfId="0" applyFont="1" applyBorder="1" applyAlignment="1">
      <alignment vertical="center" wrapText="1"/>
    </xf>
    <xf numFmtId="2" fontId="16" fillId="0" borderId="8" xfId="0" applyNumberFormat="1" applyFont="1" applyBorder="1" applyAlignment="1">
      <alignment vertical="center" wrapText="1"/>
    </xf>
    <xf numFmtId="1" fontId="16" fillId="0" borderId="8" xfId="0" applyNumberFormat="1" applyFont="1" applyBorder="1" applyAlignment="1">
      <alignment horizontal="center" vertical="center" wrapText="1"/>
    </xf>
    <xf numFmtId="0" fontId="26" fillId="0" borderId="0" xfId="0" applyFont="1"/>
    <xf numFmtId="0" fontId="16" fillId="0" borderId="7" xfId="0" applyFont="1" applyBorder="1" applyAlignment="1">
      <alignment vertical="center"/>
    </xf>
    <xf numFmtId="0" fontId="16" fillId="0" borderId="8" xfId="0" applyFont="1" applyBorder="1" applyAlignment="1">
      <alignment vertical="center"/>
    </xf>
    <xf numFmtId="0" fontId="16" fillId="0" borderId="9" xfId="0" applyFont="1" applyBorder="1" applyAlignment="1">
      <alignment vertical="center"/>
    </xf>
    <xf numFmtId="3" fontId="2" fillId="0" borderId="0" xfId="0" applyNumberFormat="1" applyFont="1" applyAlignment="1">
      <alignment vertical="center"/>
    </xf>
    <xf numFmtId="3" fontId="5" fillId="2" borderId="1" xfId="0" applyNumberFormat="1" applyFont="1" applyFill="1" applyBorder="1" applyAlignment="1">
      <alignment horizontal="center" vertical="center" wrapText="1"/>
    </xf>
    <xf numFmtId="3" fontId="2" fillId="2" borderId="8" xfId="0" applyNumberFormat="1" applyFont="1" applyFill="1" applyBorder="1" applyAlignment="1">
      <alignment horizontal="center" vertical="center" wrapText="1"/>
    </xf>
    <xf numFmtId="3" fontId="2" fillId="2" borderId="8" xfId="0" applyNumberFormat="1" applyFont="1" applyFill="1" applyBorder="1" applyAlignment="1">
      <alignment vertical="center" wrapText="1"/>
    </xf>
    <xf numFmtId="3" fontId="2" fillId="2" borderId="8" xfId="0" applyNumberFormat="1" applyFont="1" applyFill="1" applyBorder="1" applyAlignment="1">
      <alignment horizontal="right" vertical="center" wrapText="1"/>
    </xf>
    <xf numFmtId="3" fontId="5" fillId="2" borderId="8" xfId="0" applyNumberFormat="1" applyFont="1" applyFill="1" applyBorder="1" applyAlignment="1">
      <alignment horizontal="right" vertical="center" wrapText="1"/>
    </xf>
    <xf numFmtId="3" fontId="5" fillId="2" borderId="9" xfId="0" applyNumberFormat="1" applyFont="1" applyFill="1" applyBorder="1" applyAlignment="1">
      <alignment horizontal="right" vertical="center" wrapText="1"/>
    </xf>
    <xf numFmtId="3" fontId="2" fillId="2" borderId="9" xfId="0" applyNumberFormat="1" applyFont="1" applyFill="1" applyBorder="1" applyAlignment="1">
      <alignment horizontal="right" vertical="center" wrapText="1"/>
    </xf>
    <xf numFmtId="3" fontId="5" fillId="2" borderId="7" xfId="0" applyNumberFormat="1" applyFont="1" applyFill="1" applyBorder="1" applyAlignment="1">
      <alignment horizontal="right" vertical="center" wrapText="1"/>
    </xf>
    <xf numFmtId="0" fontId="5" fillId="0" borderId="0" xfId="0" applyFont="1" applyAlignment="1">
      <alignment vertical="center"/>
    </xf>
    <xf numFmtId="9" fontId="5" fillId="2" borderId="7" xfId="1" applyFont="1" applyFill="1" applyBorder="1" applyAlignment="1">
      <alignment horizontal="right" vertical="center" wrapText="1"/>
    </xf>
    <xf numFmtId="9" fontId="5" fillId="2" borderId="8" xfId="1" applyFont="1" applyFill="1" applyBorder="1" applyAlignment="1">
      <alignment horizontal="right" vertical="center" wrapText="1"/>
    </xf>
    <xf numFmtId="9" fontId="2" fillId="2" borderId="8" xfId="1" applyFont="1" applyFill="1" applyBorder="1" applyAlignment="1">
      <alignment horizontal="right" vertical="center" wrapText="1"/>
    </xf>
    <xf numFmtId="9" fontId="5" fillId="2" borderId="9" xfId="1" applyFont="1" applyFill="1" applyBorder="1" applyAlignment="1">
      <alignment horizontal="right" vertical="center" wrapText="1"/>
    </xf>
    <xf numFmtId="0" fontId="30" fillId="2" borderId="8" xfId="0" applyFont="1" applyFill="1" applyBorder="1" applyAlignment="1">
      <alignment horizontal="center" vertical="center" wrapText="1"/>
    </xf>
    <xf numFmtId="0" fontId="30" fillId="2" borderId="8" xfId="0" applyFont="1" applyFill="1" applyBorder="1" applyAlignment="1">
      <alignment vertical="center" wrapText="1"/>
    </xf>
    <xf numFmtId="0" fontId="30" fillId="0" borderId="0" xfId="0" applyFont="1" applyAlignment="1">
      <alignment vertical="center"/>
    </xf>
    <xf numFmtId="3" fontId="30" fillId="2" borderId="8" xfId="0" applyNumberFormat="1" applyFont="1" applyFill="1" applyBorder="1" applyAlignment="1">
      <alignment vertical="center" wrapText="1"/>
    </xf>
    <xf numFmtId="0" fontId="2" fillId="0" borderId="12" xfId="0" applyFont="1" applyBorder="1" applyAlignment="1">
      <alignment vertical="center"/>
    </xf>
    <xf numFmtId="9" fontId="2" fillId="0" borderId="11" xfId="0" applyNumberFormat="1" applyFont="1" applyBorder="1" applyAlignment="1">
      <alignment vertical="center"/>
    </xf>
    <xf numFmtId="165" fontId="5" fillId="2" borderId="8" xfId="1" applyNumberFormat="1" applyFont="1" applyFill="1" applyBorder="1" applyAlignment="1">
      <alignment horizontal="right" vertical="center" wrapText="1"/>
    </xf>
    <xf numFmtId="165" fontId="2" fillId="2" borderId="8" xfId="1" applyNumberFormat="1" applyFont="1" applyFill="1" applyBorder="1" applyAlignment="1">
      <alignment horizontal="right" vertical="center" wrapText="1"/>
    </xf>
    <xf numFmtId="165" fontId="30" fillId="2" borderId="8" xfId="1" applyNumberFormat="1" applyFont="1" applyFill="1" applyBorder="1" applyAlignment="1">
      <alignment horizontal="right" vertical="center" wrapText="1"/>
    </xf>
    <xf numFmtId="165" fontId="2" fillId="2" borderId="9" xfId="1" applyNumberFormat="1" applyFont="1" applyFill="1" applyBorder="1" applyAlignment="1">
      <alignment horizontal="right" vertical="center" wrapText="1"/>
    </xf>
    <xf numFmtId="0" fontId="31" fillId="2" borderId="8" xfId="0" applyFont="1" applyFill="1" applyBorder="1" applyAlignment="1">
      <alignment vertical="center" wrapText="1"/>
    </xf>
    <xf numFmtId="3" fontId="30" fillId="2" borderId="8" xfId="0" applyNumberFormat="1" applyFont="1" applyFill="1" applyBorder="1" applyAlignment="1">
      <alignment horizontal="right" vertical="center" wrapText="1"/>
    </xf>
    <xf numFmtId="3" fontId="30" fillId="2" borderId="8" xfId="0" applyNumberFormat="1" applyFont="1" applyFill="1" applyBorder="1" applyAlignment="1">
      <alignment horizontal="center" vertical="center" wrapText="1"/>
    </xf>
    <xf numFmtId="3" fontId="2" fillId="2" borderId="8" xfId="0" applyNumberFormat="1" applyFont="1" applyFill="1" applyBorder="1" applyAlignment="1">
      <alignment horizontal="right" vertical="center"/>
    </xf>
    <xf numFmtId="3" fontId="30" fillId="2" borderId="8" xfId="0" applyNumberFormat="1" applyFont="1" applyFill="1" applyBorder="1" applyAlignment="1">
      <alignment horizontal="right" vertical="center"/>
    </xf>
    <xf numFmtId="9" fontId="2" fillId="0" borderId="0" xfId="0" applyNumberFormat="1" applyFont="1" applyAlignment="1">
      <alignment vertical="center"/>
    </xf>
    <xf numFmtId="0" fontId="2" fillId="0" borderId="0" xfId="0" applyFont="1" applyAlignment="1">
      <alignment horizontal="right" vertical="center"/>
    </xf>
    <xf numFmtId="3" fontId="5" fillId="2" borderId="7" xfId="0" applyNumberFormat="1" applyFont="1" applyFill="1" applyBorder="1" applyAlignment="1">
      <alignment vertical="center" wrapText="1"/>
    </xf>
    <xf numFmtId="3" fontId="5" fillId="2" borderId="8" xfId="0" applyNumberFormat="1" applyFont="1" applyFill="1" applyBorder="1" applyAlignment="1">
      <alignment vertical="center" wrapText="1"/>
    </xf>
    <xf numFmtId="3" fontId="5" fillId="2" borderId="9" xfId="0" applyNumberFormat="1" applyFont="1" applyFill="1" applyBorder="1" applyAlignment="1">
      <alignment vertical="center" wrapText="1"/>
    </xf>
    <xf numFmtId="9" fontId="5" fillId="2" borderId="7" xfId="1" applyFont="1" applyFill="1" applyBorder="1" applyAlignment="1">
      <alignment vertical="center" wrapText="1"/>
    </xf>
    <xf numFmtId="9" fontId="5" fillId="2" borderId="8" xfId="1" applyFont="1" applyFill="1" applyBorder="1" applyAlignment="1">
      <alignment vertical="center" wrapText="1"/>
    </xf>
    <xf numFmtId="9" fontId="2" fillId="2" borderId="8" xfId="1" applyFont="1" applyFill="1" applyBorder="1" applyAlignment="1">
      <alignment vertical="center" wrapText="1"/>
    </xf>
    <xf numFmtId="9" fontId="5" fillId="2" borderId="9" xfId="1" applyFont="1" applyFill="1" applyBorder="1" applyAlignment="1">
      <alignment vertical="center" wrapText="1"/>
    </xf>
    <xf numFmtId="9" fontId="2" fillId="0" borderId="0" xfId="1" applyFont="1" applyAlignment="1">
      <alignment vertical="center"/>
    </xf>
    <xf numFmtId="0" fontId="14" fillId="0" borderId="8" xfId="0" applyFont="1" applyBorder="1" applyAlignment="1">
      <alignment vertical="center" wrapText="1"/>
    </xf>
    <xf numFmtId="3" fontId="5" fillId="2" borderId="5" xfId="0" applyNumberFormat="1" applyFont="1" applyFill="1" applyBorder="1" applyAlignment="1">
      <alignment horizontal="center" vertical="center" wrapText="1"/>
    </xf>
    <xf numFmtId="0" fontId="32" fillId="2" borderId="8" xfId="0" applyFont="1" applyFill="1" applyBorder="1" applyAlignment="1">
      <alignment horizontal="center" vertical="center" wrapText="1"/>
    </xf>
    <xf numFmtId="0" fontId="33" fillId="2" borderId="8" xfId="0" applyFont="1" applyFill="1" applyBorder="1" applyAlignment="1">
      <alignment vertical="center" wrapText="1"/>
    </xf>
    <xf numFmtId="3" fontId="32" fillId="2" borderId="8" xfId="0" applyNumberFormat="1" applyFont="1" applyFill="1" applyBorder="1" applyAlignment="1">
      <alignment vertical="center" wrapText="1"/>
    </xf>
    <xf numFmtId="0" fontId="32" fillId="2" borderId="8" xfId="0" applyFont="1" applyFill="1" applyBorder="1" applyAlignment="1">
      <alignment vertical="center" wrapText="1"/>
    </xf>
    <xf numFmtId="9" fontId="32" fillId="2" borderId="8" xfId="1" applyFont="1" applyFill="1" applyBorder="1" applyAlignment="1">
      <alignment vertical="center" wrapText="1"/>
    </xf>
    <xf numFmtId="0" fontId="32" fillId="0" borderId="0" xfId="0" applyFont="1" applyAlignment="1">
      <alignment vertical="center"/>
    </xf>
    <xf numFmtId="0" fontId="2" fillId="2" borderId="10" xfId="0" applyFont="1" applyFill="1" applyBorder="1" applyAlignment="1">
      <alignment horizontal="center" vertical="center" wrapText="1"/>
    </xf>
    <xf numFmtId="0" fontId="2" fillId="2" borderId="10" xfId="0" applyFont="1" applyFill="1" applyBorder="1" applyAlignment="1">
      <alignment vertical="center" wrapText="1"/>
    </xf>
    <xf numFmtId="3" fontId="2" fillId="2" borderId="10" xfId="0" applyNumberFormat="1" applyFont="1" applyFill="1" applyBorder="1" applyAlignment="1">
      <alignment vertical="center" wrapText="1"/>
    </xf>
    <xf numFmtId="9" fontId="2" fillId="2" borderId="10" xfId="1" applyFont="1" applyFill="1" applyBorder="1" applyAlignment="1">
      <alignment vertical="center" wrapText="1"/>
    </xf>
    <xf numFmtId="3" fontId="9" fillId="0" borderId="8" xfId="0" applyNumberFormat="1" applyFont="1" applyFill="1" applyBorder="1" applyAlignment="1">
      <alignment horizontal="right" vertical="center" wrapText="1"/>
    </xf>
    <xf numFmtId="0" fontId="34" fillId="0" borderId="0" xfId="0" applyFont="1" applyAlignment="1">
      <alignment vertical="center"/>
    </xf>
    <xf numFmtId="3" fontId="16" fillId="0" borderId="8" xfId="0" applyNumberFormat="1" applyFont="1" applyBorder="1" applyAlignment="1">
      <alignment horizontal="right" vertical="center" wrapText="1"/>
    </xf>
    <xf numFmtId="3" fontId="16" fillId="0" borderId="9" xfId="0" applyNumberFormat="1" applyFont="1" applyBorder="1" applyAlignment="1">
      <alignment horizontal="right" vertical="center" wrapText="1"/>
    </xf>
    <xf numFmtId="3" fontId="16" fillId="0" borderId="10" xfId="0" applyNumberFormat="1" applyFont="1" applyBorder="1" applyAlignment="1">
      <alignment horizontal="right" vertical="center" wrapText="1"/>
    </xf>
    <xf numFmtId="0" fontId="35" fillId="2" borderId="1" xfId="0" applyFont="1" applyFill="1" applyBorder="1" applyAlignment="1">
      <alignment horizontal="center" vertical="center" wrapText="1"/>
    </xf>
    <xf numFmtId="3" fontId="35" fillId="2" borderId="7" xfId="0" applyNumberFormat="1" applyFont="1" applyFill="1" applyBorder="1" applyAlignment="1">
      <alignment vertical="center" wrapText="1"/>
    </xf>
    <xf numFmtId="3" fontId="35" fillId="2" borderId="8" xfId="0" applyNumberFormat="1" applyFont="1" applyFill="1" applyBorder="1" applyAlignment="1">
      <alignment vertical="center" wrapText="1"/>
    </xf>
    <xf numFmtId="3" fontId="32" fillId="2" borderId="10" xfId="0" applyNumberFormat="1" applyFont="1" applyFill="1" applyBorder="1" applyAlignment="1">
      <alignment vertical="center" wrapText="1"/>
    </xf>
    <xf numFmtId="3" fontId="35" fillId="2" borderId="9" xfId="0" applyNumberFormat="1" applyFont="1" applyFill="1" applyBorder="1" applyAlignment="1">
      <alignment vertical="center" wrapText="1"/>
    </xf>
    <xf numFmtId="3" fontId="36" fillId="0" borderId="8" xfId="0" applyNumberFormat="1" applyFont="1" applyBorder="1" applyAlignment="1">
      <alignment horizontal="right" vertical="center" wrapText="1"/>
    </xf>
    <xf numFmtId="3" fontId="14" fillId="0" borderId="7" xfId="0" applyNumberFormat="1" applyFont="1" applyBorder="1" applyAlignment="1">
      <alignment horizontal="right" vertical="center" wrapText="1"/>
    </xf>
    <xf numFmtId="3" fontId="14" fillId="0" borderId="8" xfId="0" applyNumberFormat="1" applyFont="1" applyBorder="1" applyAlignment="1">
      <alignment horizontal="right" vertical="center" wrapText="1"/>
    </xf>
    <xf numFmtId="9" fontId="14" fillId="0" borderId="8" xfId="1" applyFont="1" applyBorder="1" applyAlignment="1">
      <alignment horizontal="right" vertical="center" wrapText="1"/>
    </xf>
    <xf numFmtId="9" fontId="14" fillId="0" borderId="9" xfId="1" applyFont="1" applyBorder="1" applyAlignment="1">
      <alignment horizontal="right" vertical="center" wrapText="1"/>
    </xf>
    <xf numFmtId="9" fontId="14" fillId="0" borderId="7" xfId="1" applyFont="1" applyBorder="1" applyAlignment="1">
      <alignment horizontal="right" vertical="center" wrapText="1"/>
    </xf>
    <xf numFmtId="3" fontId="14" fillId="0" borderId="9" xfId="0" applyNumberFormat="1" applyFont="1" applyBorder="1" applyAlignment="1">
      <alignment horizontal="right" vertical="center" wrapText="1"/>
    </xf>
    <xf numFmtId="9" fontId="16" fillId="0" borderId="8" xfId="1" applyFont="1" applyBorder="1" applyAlignment="1">
      <alignment horizontal="right" vertical="center" wrapText="1"/>
    </xf>
    <xf numFmtId="9" fontId="2" fillId="2" borderId="9" xfId="1" applyFont="1" applyFill="1" applyBorder="1" applyAlignment="1">
      <alignment horizontal="righ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4" fillId="0" borderId="8" xfId="0" applyFont="1" applyBorder="1" applyAlignment="1">
      <alignment vertical="center" wrapText="1"/>
    </xf>
    <xf numFmtId="3" fontId="2" fillId="0" borderId="0" xfId="0" applyNumberFormat="1" applyFont="1" applyAlignment="1">
      <alignment vertical="center" wrapText="1"/>
    </xf>
    <xf numFmtId="3" fontId="5" fillId="0" borderId="0" xfId="0" applyNumberFormat="1" applyFont="1" applyAlignment="1">
      <alignment vertical="center"/>
    </xf>
    <xf numFmtId="3" fontId="32" fillId="2" borderId="8" xfId="0" applyNumberFormat="1" applyFont="1" applyFill="1" applyBorder="1" applyAlignment="1">
      <alignment horizontal="right" vertical="center" wrapText="1"/>
    </xf>
    <xf numFmtId="165" fontId="32" fillId="2" borderId="8" xfId="1" applyNumberFormat="1" applyFont="1" applyFill="1" applyBorder="1" applyAlignment="1">
      <alignment horizontal="right" vertical="center" wrapText="1"/>
    </xf>
    <xf numFmtId="0" fontId="2" fillId="0" borderId="0" xfId="0" applyFont="1" applyBorder="1" applyAlignment="1">
      <alignment vertical="center"/>
    </xf>
    <xf numFmtId="3" fontId="5" fillId="2" borderId="0" xfId="0" applyNumberFormat="1" applyFont="1" applyFill="1" applyBorder="1" applyAlignment="1">
      <alignment horizontal="right" vertical="center" wrapText="1"/>
    </xf>
    <xf numFmtId="0" fontId="37" fillId="2" borderId="8" xfId="0" applyFont="1" applyFill="1" applyBorder="1" applyAlignment="1">
      <alignment horizontal="center" vertical="center" wrapText="1"/>
    </xf>
    <xf numFmtId="0" fontId="37" fillId="2" borderId="8" xfId="0" applyFont="1" applyFill="1" applyBorder="1" applyAlignment="1">
      <alignment vertical="center" wrapText="1"/>
    </xf>
    <xf numFmtId="3" fontId="37" fillId="2" borderId="8" xfId="0" applyNumberFormat="1" applyFont="1" applyFill="1" applyBorder="1" applyAlignment="1">
      <alignment vertical="center" wrapText="1"/>
    </xf>
    <xf numFmtId="0" fontId="38" fillId="0" borderId="0" xfId="0" applyFont="1"/>
    <xf numFmtId="0" fontId="37" fillId="2" borderId="8" xfId="0" applyFont="1" applyFill="1" applyBorder="1" applyAlignment="1">
      <alignment horizontal="left" vertical="center" wrapText="1" indent="2"/>
    </xf>
    <xf numFmtId="0" fontId="14" fillId="0" borderId="15" xfId="0" applyFont="1" applyBorder="1" applyAlignment="1">
      <alignment horizontal="center" vertical="center" wrapText="1"/>
    </xf>
    <xf numFmtId="3" fontId="14" fillId="0" borderId="7" xfId="0" applyNumberFormat="1" applyFont="1" applyBorder="1" applyAlignment="1">
      <alignment vertical="center" wrapText="1"/>
    </xf>
    <xf numFmtId="3" fontId="16" fillId="0" borderId="8" xfId="0" applyNumberFormat="1" applyFont="1" applyBorder="1" applyAlignment="1">
      <alignment vertical="center" wrapText="1"/>
    </xf>
    <xf numFmtId="3" fontId="16" fillId="0" borderId="10" xfId="0" applyNumberFormat="1" applyFont="1" applyBorder="1" applyAlignment="1">
      <alignment vertical="center" wrapText="1"/>
    </xf>
    <xf numFmtId="3" fontId="0" fillId="0" borderId="0" xfId="0" applyNumberFormat="1"/>
    <xf numFmtId="3" fontId="16" fillId="0" borderId="0" xfId="0" applyNumberFormat="1" applyFont="1" applyBorder="1" applyAlignment="1">
      <alignment vertical="center" wrapText="1"/>
    </xf>
    <xf numFmtId="0" fontId="7" fillId="0" borderId="0" xfId="0" applyFont="1"/>
    <xf numFmtId="3" fontId="7" fillId="0" borderId="0" xfId="0" applyNumberFormat="1" applyFont="1"/>
    <xf numFmtId="3" fontId="7" fillId="0" borderId="0" xfId="0" applyNumberFormat="1" applyFont="1" applyAlignment="1">
      <alignment vertical="center" wrapText="1"/>
    </xf>
    <xf numFmtId="3" fontId="7" fillId="0" borderId="0" xfId="0" applyNumberFormat="1" applyFont="1" applyAlignment="1">
      <alignment horizontal="center" vertical="center" wrapText="1"/>
    </xf>
    <xf numFmtId="0" fontId="7" fillId="0" borderId="0" xfId="0" applyFont="1" applyBorder="1"/>
    <xf numFmtId="9" fontId="14" fillId="0" borderId="8" xfId="1" applyFont="1" applyBorder="1" applyAlignment="1">
      <alignment vertical="center" wrapText="1"/>
    </xf>
    <xf numFmtId="9" fontId="16" fillId="0" borderId="8" xfId="1" applyFont="1" applyBorder="1" applyAlignment="1">
      <alignment vertical="center" wrapText="1"/>
    </xf>
    <xf numFmtId="3" fontId="16" fillId="0" borderId="9" xfId="0" applyNumberFormat="1" applyFont="1" applyBorder="1" applyAlignment="1">
      <alignment vertical="center" wrapText="1"/>
    </xf>
    <xf numFmtId="0" fontId="40" fillId="0" borderId="0" xfId="0" applyFont="1"/>
    <xf numFmtId="0" fontId="41" fillId="0" borderId="0" xfId="0" applyFont="1"/>
    <xf numFmtId="0" fontId="40" fillId="0" borderId="1" xfId="0" applyFont="1" applyBorder="1"/>
    <xf numFmtId="3" fontId="40" fillId="0" borderId="1" xfId="0" applyNumberFormat="1" applyFont="1" applyBorder="1"/>
    <xf numFmtId="0" fontId="40" fillId="0" borderId="7" xfId="0" applyFont="1" applyBorder="1"/>
    <xf numFmtId="3" fontId="40" fillId="0" borderId="7" xfId="0" applyNumberFormat="1" applyFont="1" applyBorder="1"/>
    <xf numFmtId="0" fontId="41" fillId="0" borderId="8" xfId="0" applyFont="1" applyBorder="1"/>
    <xf numFmtId="3" fontId="41" fillId="0" borderId="8" xfId="0" applyNumberFormat="1" applyFont="1" applyBorder="1"/>
    <xf numFmtId="0" fontId="40" fillId="0" borderId="8" xfId="0" applyFont="1" applyBorder="1"/>
    <xf numFmtId="3" fontId="40" fillId="0" borderId="8" xfId="0" applyNumberFormat="1" applyFont="1" applyBorder="1"/>
    <xf numFmtId="0" fontId="41" fillId="0" borderId="9" xfId="0" applyFont="1" applyBorder="1"/>
    <xf numFmtId="3" fontId="41" fillId="0" borderId="9" xfId="0" applyNumberFormat="1" applyFont="1" applyBorder="1"/>
    <xf numFmtId="3" fontId="2" fillId="0" borderId="8" xfId="0" applyNumberFormat="1" applyFont="1" applyFill="1" applyBorder="1" applyAlignment="1">
      <alignment horizontal="right" vertical="center" wrapText="1"/>
    </xf>
    <xf numFmtId="0" fontId="14" fillId="0" borderId="15" xfId="0" applyFont="1" applyBorder="1" applyAlignment="1">
      <alignment horizontal="left" vertical="center"/>
    </xf>
    <xf numFmtId="0" fontId="14" fillId="0" borderId="10" xfId="0" applyFont="1" applyBorder="1" applyAlignment="1">
      <alignment horizontal="center" vertical="center" wrapText="1"/>
    </xf>
    <xf numFmtId="0" fontId="14" fillId="0" borderId="10" xfId="0" applyFont="1" applyBorder="1" applyAlignment="1">
      <alignment vertical="center" wrapText="1"/>
    </xf>
    <xf numFmtId="3" fontId="14" fillId="0" borderId="10" xfId="0" applyNumberFormat="1" applyFont="1" applyBorder="1" applyAlignment="1">
      <alignment vertical="center" wrapText="1"/>
    </xf>
    <xf numFmtId="3" fontId="16" fillId="0" borderId="7" xfId="0" applyNumberFormat="1" applyFont="1" applyBorder="1" applyAlignment="1">
      <alignment horizontal="right" vertical="center" wrapText="1"/>
    </xf>
    <xf numFmtId="0" fontId="16" fillId="0" borderId="8" xfId="0" applyFont="1" applyBorder="1" applyAlignment="1">
      <alignment horizontal="left" vertical="center" wrapText="1"/>
    </xf>
    <xf numFmtId="0" fontId="14" fillId="0" borderId="8" xfId="0" applyFont="1" applyBorder="1" applyAlignment="1">
      <alignment horizontal="left" vertical="center" wrapText="1"/>
    </xf>
    <xf numFmtId="3" fontId="14" fillId="0" borderId="8" xfId="0" applyNumberFormat="1" applyFont="1" applyBorder="1" applyAlignment="1">
      <alignment vertical="center" wrapText="1"/>
    </xf>
    <xf numFmtId="3" fontId="14" fillId="0" borderId="9" xfId="0" applyNumberFormat="1" applyFont="1" applyBorder="1" applyAlignment="1">
      <alignment vertical="center" wrapText="1"/>
    </xf>
    <xf numFmtId="0" fontId="7" fillId="0" borderId="0" xfId="0" applyFont="1" applyAlignment="1">
      <alignment wrapText="1"/>
    </xf>
    <xf numFmtId="3" fontId="34" fillId="0" borderId="0" xfId="0" applyNumberFormat="1" applyFont="1"/>
    <xf numFmtId="0" fontId="5"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8" xfId="0" applyFont="1" applyFill="1" applyBorder="1" applyAlignment="1">
      <alignment vertical="center" wrapText="1"/>
    </xf>
    <xf numFmtId="3" fontId="2" fillId="4" borderId="8" xfId="0" applyNumberFormat="1" applyFont="1" applyFill="1" applyBorder="1" applyAlignment="1">
      <alignment vertical="center" wrapText="1"/>
    </xf>
    <xf numFmtId="0" fontId="2" fillId="4" borderId="0" xfId="0" applyFont="1" applyFill="1" applyAlignment="1">
      <alignment vertical="center"/>
    </xf>
    <xf numFmtId="3" fontId="2" fillId="4" borderId="0" xfId="0" applyNumberFormat="1" applyFont="1" applyFill="1" applyAlignment="1">
      <alignment vertical="center"/>
    </xf>
    <xf numFmtId="3" fontId="16" fillId="4" borderId="8" xfId="0" applyNumberFormat="1" applyFont="1" applyFill="1" applyBorder="1" applyAlignment="1">
      <alignment vertical="center" wrapText="1"/>
    </xf>
    <xf numFmtId="9" fontId="16" fillId="4" borderId="8" xfId="1" applyFont="1" applyFill="1" applyBorder="1" applyAlignment="1">
      <alignment vertical="center" wrapText="1"/>
    </xf>
    <xf numFmtId="0" fontId="0" fillId="4" borderId="0" xfId="0" applyFill="1"/>
    <xf numFmtId="3" fontId="16" fillId="4" borderId="0" xfId="0" applyNumberFormat="1" applyFont="1" applyFill="1" applyBorder="1" applyAlignment="1">
      <alignment vertical="center" wrapText="1"/>
    </xf>
    <xf numFmtId="3" fontId="7" fillId="4" borderId="0" xfId="0" applyNumberFormat="1" applyFont="1" applyFill="1"/>
    <xf numFmtId="3" fontId="0" fillId="4" borderId="0" xfId="0" applyNumberFormat="1" applyFill="1"/>
    <xf numFmtId="3" fontId="7" fillId="0" borderId="0" xfId="0" applyNumberFormat="1" applyFont="1" applyBorder="1"/>
    <xf numFmtId="3" fontId="7" fillId="0" borderId="0" xfId="0" applyNumberFormat="1" applyFont="1" applyBorder="1" applyAlignment="1">
      <alignment horizontal="center" vertical="center" wrapText="1"/>
    </xf>
    <xf numFmtId="3" fontId="34" fillId="0" borderId="0" xfId="0" applyNumberFormat="1" applyFont="1" applyBorder="1"/>
    <xf numFmtId="3" fontId="7" fillId="0" borderId="0" xfId="0" applyNumberFormat="1" applyFont="1" applyBorder="1" applyAlignment="1">
      <alignment vertical="center" wrapText="1"/>
    </xf>
    <xf numFmtId="3" fontId="34" fillId="0" borderId="0" xfId="0" applyNumberFormat="1" applyFont="1" applyBorder="1" applyAlignment="1">
      <alignment horizontal="center" vertical="center" wrapText="1"/>
    </xf>
    <xf numFmtId="3" fontId="34" fillId="0" borderId="0" xfId="0" applyNumberFormat="1" applyFont="1" applyBorder="1" applyAlignment="1">
      <alignment vertical="center" wrapText="1"/>
    </xf>
    <xf numFmtId="3" fontId="7" fillId="4" borderId="0" xfId="0" applyNumberFormat="1" applyFont="1" applyFill="1" applyBorder="1"/>
    <xf numFmtId="165" fontId="14" fillId="0" borderId="7" xfId="1" applyNumberFormat="1" applyFont="1" applyBorder="1" applyAlignment="1">
      <alignment vertical="center" wrapText="1"/>
    </xf>
    <xf numFmtId="3" fontId="2" fillId="5" borderId="0" xfId="0" applyNumberFormat="1" applyFont="1" applyFill="1" applyAlignment="1">
      <alignment vertical="center" wrapText="1"/>
    </xf>
    <xf numFmtId="3" fontId="2" fillId="5" borderId="0" xfId="0" applyNumberFormat="1" applyFont="1" applyFill="1" applyAlignment="1">
      <alignment vertical="center"/>
    </xf>
    <xf numFmtId="0" fontId="5" fillId="2" borderId="10" xfId="0" applyFont="1" applyFill="1" applyBorder="1" applyAlignment="1">
      <alignment horizontal="center" vertical="center" wrapText="1"/>
    </xf>
    <xf numFmtId="0" fontId="5" fillId="2" borderId="10" xfId="0" applyFont="1" applyFill="1" applyBorder="1" applyAlignment="1">
      <alignment vertical="center" wrapText="1"/>
    </xf>
    <xf numFmtId="3" fontId="0" fillId="5" borderId="0" xfId="0" applyNumberFormat="1" applyFill="1"/>
    <xf numFmtId="3" fontId="7" fillId="5" borderId="0" xfId="0" applyNumberFormat="1" applyFont="1" applyFill="1" applyBorder="1"/>
    <xf numFmtId="0" fontId="14" fillId="0" borderId="14" xfId="0" applyFont="1" applyFill="1" applyBorder="1" applyAlignment="1">
      <alignment horizontal="center" vertical="center" wrapText="1"/>
    </xf>
    <xf numFmtId="165" fontId="2" fillId="0" borderId="0" xfId="1" applyNumberFormat="1" applyFont="1" applyAlignment="1">
      <alignment vertical="center"/>
    </xf>
    <xf numFmtId="165" fontId="5" fillId="2" borderId="7" xfId="1" applyNumberFormat="1" applyFont="1" applyFill="1" applyBorder="1" applyAlignment="1">
      <alignment vertical="center" wrapText="1"/>
    </xf>
    <xf numFmtId="165" fontId="5" fillId="2" borderId="8" xfId="1" applyNumberFormat="1" applyFont="1" applyFill="1" applyBorder="1" applyAlignment="1">
      <alignment vertical="center" wrapText="1"/>
    </xf>
    <xf numFmtId="165" fontId="2" fillId="2" borderId="9" xfId="1" applyNumberFormat="1" applyFont="1" applyFill="1" applyBorder="1" applyAlignment="1">
      <alignment vertical="center" wrapText="1"/>
    </xf>
    <xf numFmtId="0" fontId="2" fillId="6" borderId="8" xfId="0" applyFont="1" applyFill="1" applyBorder="1" applyAlignment="1">
      <alignment horizontal="center" vertical="center" wrapText="1"/>
    </xf>
    <xf numFmtId="0" fontId="2" fillId="6" borderId="8" xfId="0" applyFont="1" applyFill="1" applyBorder="1" applyAlignment="1">
      <alignment vertical="center" wrapText="1"/>
    </xf>
    <xf numFmtId="3" fontId="2" fillId="6" borderId="8" xfId="0" applyNumberFormat="1" applyFont="1" applyFill="1" applyBorder="1" applyAlignment="1">
      <alignment horizontal="right" vertical="center" wrapText="1"/>
    </xf>
    <xf numFmtId="165" fontId="2" fillId="6" borderId="8" xfId="1" applyNumberFormat="1" applyFont="1" applyFill="1" applyBorder="1" applyAlignment="1">
      <alignment vertical="center" wrapText="1"/>
    </xf>
    <xf numFmtId="0" fontId="2" fillId="6" borderId="0" xfId="0" applyFont="1" applyFill="1" applyAlignment="1">
      <alignment vertical="center"/>
    </xf>
    <xf numFmtId="0" fontId="2" fillId="0" borderId="8" xfId="0" applyFont="1" applyFill="1" applyBorder="1" applyAlignment="1">
      <alignment horizontal="center" vertical="center" wrapText="1"/>
    </xf>
    <xf numFmtId="0" fontId="2" fillId="0" borderId="8" xfId="0" applyFont="1" applyFill="1" applyBorder="1" applyAlignment="1">
      <alignment vertical="center" wrapText="1"/>
    </xf>
    <xf numFmtId="165" fontId="2" fillId="0" borderId="8" xfId="1" applyNumberFormat="1" applyFont="1" applyFill="1" applyBorder="1" applyAlignment="1">
      <alignment vertical="center" wrapText="1"/>
    </xf>
    <xf numFmtId="0" fontId="2" fillId="0" borderId="0" xfId="0" applyFont="1" applyFill="1" applyAlignment="1">
      <alignment vertical="center"/>
    </xf>
    <xf numFmtId="0" fontId="5" fillId="0" borderId="8" xfId="0" applyFont="1" applyFill="1" applyBorder="1" applyAlignment="1">
      <alignment horizontal="center" vertical="center" wrapText="1"/>
    </xf>
    <xf numFmtId="0" fontId="5" fillId="0" borderId="8" xfId="0" applyFont="1" applyFill="1" applyBorder="1" applyAlignment="1">
      <alignment vertical="center" wrapText="1"/>
    </xf>
    <xf numFmtId="3" fontId="5" fillId="0" borderId="8" xfId="0" applyNumberFormat="1" applyFont="1" applyFill="1" applyBorder="1" applyAlignment="1">
      <alignment horizontal="right" vertical="center" wrapText="1"/>
    </xf>
    <xf numFmtId="165" fontId="5" fillId="0" borderId="8" xfId="1" applyNumberFormat="1" applyFont="1" applyFill="1" applyBorder="1" applyAlignment="1">
      <alignment vertical="center" wrapText="1"/>
    </xf>
    <xf numFmtId="0" fontId="5" fillId="0" borderId="0" xfId="0" applyFont="1" applyFill="1" applyAlignment="1">
      <alignment vertical="center"/>
    </xf>
    <xf numFmtId="3" fontId="16" fillId="0" borderId="8" xfId="0" applyNumberFormat="1" applyFont="1" applyFill="1" applyBorder="1" applyAlignment="1">
      <alignment vertical="center" wrapText="1"/>
    </xf>
    <xf numFmtId="165" fontId="16" fillId="0" borderId="8" xfId="1" applyNumberFormat="1" applyFont="1" applyFill="1" applyBorder="1" applyAlignment="1">
      <alignment vertical="center" wrapText="1"/>
    </xf>
    <xf numFmtId="0" fontId="0" fillId="0" borderId="0" xfId="0" applyFill="1"/>
    <xf numFmtId="0" fontId="2" fillId="0" borderId="10" xfId="0" applyFont="1" applyFill="1" applyBorder="1" applyAlignment="1">
      <alignment horizontal="center" vertical="center" wrapText="1"/>
    </xf>
    <xf numFmtId="0" fontId="2" fillId="0" borderId="10" xfId="0" applyFont="1" applyFill="1" applyBorder="1" applyAlignment="1">
      <alignment vertical="center" wrapText="1"/>
    </xf>
    <xf numFmtId="3" fontId="16" fillId="0" borderId="10" xfId="0" applyNumberFormat="1" applyFont="1" applyFill="1" applyBorder="1" applyAlignment="1">
      <alignment vertical="center" wrapText="1"/>
    </xf>
    <xf numFmtId="0" fontId="5" fillId="0" borderId="10" xfId="0" applyFont="1" applyFill="1" applyBorder="1" applyAlignment="1">
      <alignment horizontal="center" vertical="center" wrapText="1"/>
    </xf>
    <xf numFmtId="0" fontId="5" fillId="0" borderId="10" xfId="0" applyFont="1" applyFill="1" applyBorder="1" applyAlignment="1">
      <alignment vertical="center" wrapText="1"/>
    </xf>
    <xf numFmtId="3" fontId="14" fillId="0" borderId="10" xfId="0" applyNumberFormat="1" applyFont="1" applyFill="1" applyBorder="1" applyAlignment="1">
      <alignment vertical="center" wrapText="1"/>
    </xf>
    <xf numFmtId="165" fontId="14" fillId="0" borderId="8" xfId="1" applyNumberFormat="1" applyFont="1" applyFill="1" applyBorder="1" applyAlignment="1">
      <alignment vertical="center" wrapText="1"/>
    </xf>
    <xf numFmtId="0" fontId="26" fillId="0" borderId="0" xfId="0" applyFont="1" applyFill="1"/>
    <xf numFmtId="3" fontId="23" fillId="0" borderId="8" xfId="0" applyNumberFormat="1" applyFont="1" applyFill="1" applyBorder="1" applyAlignment="1">
      <alignment vertical="center" wrapText="1"/>
    </xf>
    <xf numFmtId="165" fontId="23" fillId="0" borderId="8" xfId="1" applyNumberFormat="1" applyFont="1" applyFill="1" applyBorder="1" applyAlignment="1">
      <alignment vertical="center" wrapText="1"/>
    </xf>
    <xf numFmtId="0" fontId="44" fillId="0" borderId="0" xfId="0" applyFont="1" applyFill="1"/>
    <xf numFmtId="166" fontId="44" fillId="0" borderId="0" xfId="2" applyNumberFormat="1" applyFont="1" applyFill="1"/>
    <xf numFmtId="3" fontId="44" fillId="0" borderId="0" xfId="0" applyNumberFormat="1" applyFont="1" applyFill="1"/>
    <xf numFmtId="3" fontId="2" fillId="0" borderId="8" xfId="0" applyNumberFormat="1" applyFont="1" applyFill="1" applyBorder="1" applyAlignment="1">
      <alignment vertical="center" wrapText="1"/>
    </xf>
    <xf numFmtId="3" fontId="2" fillId="0" borderId="0" xfId="0" applyNumberFormat="1" applyFont="1" applyFill="1" applyAlignment="1">
      <alignment vertical="center"/>
    </xf>
    <xf numFmtId="0" fontId="2" fillId="5" borderId="8" xfId="0" applyFont="1" applyFill="1" applyBorder="1" applyAlignment="1">
      <alignment horizontal="center" vertical="center" wrapText="1"/>
    </xf>
    <xf numFmtId="0" fontId="2" fillId="5" borderId="8" xfId="0" applyFont="1" applyFill="1" applyBorder="1" applyAlignment="1">
      <alignment vertical="center" wrapText="1"/>
    </xf>
    <xf numFmtId="3" fontId="16" fillId="5" borderId="8" xfId="0" applyNumberFormat="1" applyFont="1" applyFill="1" applyBorder="1" applyAlignment="1">
      <alignment vertical="center" wrapText="1"/>
    </xf>
    <xf numFmtId="165" fontId="16" fillId="5" borderId="8" xfId="1" applyNumberFormat="1" applyFont="1" applyFill="1" applyBorder="1" applyAlignment="1">
      <alignment vertical="center" wrapText="1"/>
    </xf>
    <xf numFmtId="0" fontId="0" fillId="5" borderId="0" xfId="0" applyFill="1"/>
    <xf numFmtId="2" fontId="2" fillId="0" borderId="0" xfId="0" applyNumberFormat="1" applyFont="1" applyAlignment="1">
      <alignment vertical="center"/>
    </xf>
    <xf numFmtId="3" fontId="0" fillId="0" borderId="0" xfId="0" applyNumberFormat="1" applyFill="1"/>
    <xf numFmtId="0" fontId="2" fillId="3" borderId="8" xfId="0" applyFont="1" applyFill="1" applyBorder="1" applyAlignment="1">
      <alignment horizontal="center" vertical="center" wrapText="1"/>
    </xf>
    <xf numFmtId="0" fontId="2" fillId="3" borderId="8" xfId="0" applyFont="1" applyFill="1" applyBorder="1" applyAlignment="1">
      <alignment vertical="center" wrapText="1"/>
    </xf>
    <xf numFmtId="3" fontId="16" fillId="3" borderId="8" xfId="0" applyNumberFormat="1" applyFont="1" applyFill="1" applyBorder="1" applyAlignment="1">
      <alignment vertical="center" wrapText="1"/>
    </xf>
    <xf numFmtId="165" fontId="16" fillId="3" borderId="8" xfId="1" applyNumberFormat="1" applyFont="1" applyFill="1" applyBorder="1" applyAlignment="1">
      <alignment vertical="center" wrapText="1"/>
    </xf>
    <xf numFmtId="0" fontId="0" fillId="3" borderId="0" xfId="0" applyFill="1"/>
    <xf numFmtId="9" fontId="2" fillId="0" borderId="0" xfId="1" applyFont="1" applyFill="1" applyAlignment="1">
      <alignment vertical="center"/>
    </xf>
    <xf numFmtId="3" fontId="30" fillId="0" borderId="0" xfId="0" applyNumberFormat="1" applyFont="1" applyAlignment="1">
      <alignment vertical="center"/>
    </xf>
    <xf numFmtId="3" fontId="32" fillId="0" borderId="0" xfId="0" applyNumberFormat="1" applyFont="1" applyAlignment="1">
      <alignment vertical="center"/>
    </xf>
    <xf numFmtId="3" fontId="5" fillId="5" borderId="0" xfId="0" applyNumberFormat="1" applyFont="1" applyFill="1" applyAlignment="1">
      <alignment vertical="center"/>
    </xf>
    <xf numFmtId="3" fontId="2" fillId="5" borderId="8" xfId="0" applyNumberFormat="1" applyFont="1" applyFill="1" applyBorder="1" applyAlignment="1">
      <alignment horizontal="right" vertical="center" wrapText="1"/>
    </xf>
    <xf numFmtId="165" fontId="2" fillId="5" borderId="8" xfId="1" applyNumberFormat="1" applyFont="1" applyFill="1" applyBorder="1" applyAlignment="1">
      <alignment horizontal="right" vertical="center" wrapText="1"/>
    </xf>
    <xf numFmtId="0" fontId="2" fillId="5" borderId="0" xfId="0" applyFont="1" applyFill="1" applyAlignment="1">
      <alignment vertical="center"/>
    </xf>
    <xf numFmtId="0" fontId="2"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8" xfId="0" applyFont="1" applyBorder="1" applyAlignment="1">
      <alignment vertical="center" wrapText="1"/>
    </xf>
    <xf numFmtId="0" fontId="34" fillId="0" borderId="0" xfId="0" applyFont="1"/>
    <xf numFmtId="0" fontId="34" fillId="0" borderId="0" xfId="0" applyFont="1" applyAlignment="1">
      <alignment vertical="center" wrapText="1"/>
    </xf>
    <xf numFmtId="3" fontId="34" fillId="0" borderId="0" xfId="0" applyNumberFormat="1" applyFont="1" applyAlignment="1">
      <alignment vertical="center" wrapText="1"/>
    </xf>
    <xf numFmtId="0" fontId="32" fillId="0" borderId="0" xfId="0" applyFont="1"/>
    <xf numFmtId="3" fontId="32" fillId="0" borderId="0" xfId="0" applyNumberFormat="1" applyFont="1"/>
    <xf numFmtId="3" fontId="7" fillId="5" borderId="0" xfId="0" applyNumberFormat="1" applyFont="1" applyFill="1"/>
    <xf numFmtId="3" fontId="9" fillId="0" borderId="10" xfId="0" applyNumberFormat="1" applyFont="1" applyFill="1" applyBorder="1" applyAlignment="1">
      <alignment horizontal="right" vertical="center" wrapText="1"/>
    </xf>
    <xf numFmtId="3" fontId="16" fillId="0" borderId="0" xfId="0" applyNumberFormat="1" applyFont="1" applyBorder="1" applyAlignment="1">
      <alignment horizontal="right" vertical="center" wrapText="1"/>
    </xf>
    <xf numFmtId="3" fontId="34" fillId="0" borderId="0" xfId="0" applyNumberFormat="1" applyFont="1" applyFill="1" applyAlignment="1">
      <alignment vertical="center" wrapText="1"/>
    </xf>
    <xf numFmtId="166" fontId="0" fillId="0" borderId="0" xfId="2" applyNumberFormat="1" applyFont="1"/>
    <xf numFmtId="166" fontId="0" fillId="0" borderId="0" xfId="2" applyNumberFormat="1" applyFont="1" applyAlignment="1">
      <alignment horizontal="center"/>
    </xf>
    <xf numFmtId="166" fontId="0" fillId="0" borderId="0" xfId="2" applyNumberFormat="1" applyFont="1" applyAlignment="1">
      <alignment wrapText="1"/>
    </xf>
    <xf numFmtId="166" fontId="26" fillId="0" borderId="0" xfId="2" applyNumberFormat="1" applyFont="1"/>
    <xf numFmtId="166" fontId="14" fillId="0" borderId="8" xfId="2" applyNumberFormat="1" applyFont="1" applyBorder="1" applyAlignment="1">
      <alignment horizontal="right" vertical="center" wrapText="1"/>
    </xf>
    <xf numFmtId="0" fontId="14" fillId="0" borderId="1" xfId="0" applyFont="1" applyBorder="1" applyAlignment="1">
      <alignment horizontal="center" vertical="center" wrapText="1"/>
    </xf>
    <xf numFmtId="166" fontId="0" fillId="0" borderId="0" xfId="2" applyNumberFormat="1" applyFont="1" applyAlignment="1">
      <alignment horizontal="center"/>
    </xf>
    <xf numFmtId="0" fontId="14" fillId="0" borderId="8" xfId="0" applyFont="1" applyBorder="1" applyAlignment="1">
      <alignment vertical="center" wrapText="1"/>
    </xf>
    <xf numFmtId="3" fontId="26" fillId="0" borderId="0" xfId="0" applyNumberFormat="1" applyFont="1"/>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3" fontId="14" fillId="0" borderId="8" xfId="0" applyNumberFormat="1" applyFont="1" applyFill="1" applyBorder="1" applyAlignment="1">
      <alignment horizontal="right" vertical="center" wrapText="1"/>
    </xf>
    <xf numFmtId="0" fontId="14" fillId="0" borderId="8" xfId="0" applyFont="1" applyBorder="1" applyAlignment="1">
      <alignment vertical="center" wrapText="1"/>
    </xf>
    <xf numFmtId="3" fontId="16" fillId="0" borderId="15" xfId="0" applyNumberFormat="1" applyFont="1" applyBorder="1" applyAlignment="1">
      <alignment horizontal="right" vertical="center" wrapText="1"/>
    </xf>
    <xf numFmtId="0" fontId="5" fillId="2" borderId="1" xfId="0" applyFont="1" applyFill="1" applyBorder="1" applyAlignment="1">
      <alignment horizontal="center" vertical="center" wrapText="1"/>
    </xf>
    <xf numFmtId="0" fontId="2" fillId="2" borderId="10" xfId="0" quotePrefix="1" applyFont="1" applyFill="1" applyBorder="1" applyAlignment="1">
      <alignment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vertical="center" wrapText="1"/>
    </xf>
    <xf numFmtId="3" fontId="5" fillId="2" borderId="2" xfId="0" applyNumberFormat="1" applyFont="1" applyFill="1" applyBorder="1" applyAlignment="1">
      <alignment vertical="center" wrapText="1"/>
    </xf>
    <xf numFmtId="0" fontId="0" fillId="0" borderId="0" xfId="0" applyBorder="1"/>
    <xf numFmtId="0" fontId="37" fillId="2" borderId="0" xfId="0" applyFont="1" applyFill="1" applyBorder="1" applyAlignment="1">
      <alignment vertical="center" wrapText="1"/>
    </xf>
    <xf numFmtId="3" fontId="0" fillId="0" borderId="0" xfId="0" applyNumberFormat="1" applyBorder="1"/>
    <xf numFmtId="0" fontId="44" fillId="0" borderId="0" xfId="0" applyFont="1"/>
    <xf numFmtId="3" fontId="38" fillId="0" borderId="0" xfId="0" applyNumberFormat="1" applyFont="1"/>
    <xf numFmtId="0" fontId="5" fillId="5" borderId="8" xfId="0" applyFont="1" applyFill="1" applyBorder="1" applyAlignment="1">
      <alignment horizontal="center" vertical="center" wrapText="1"/>
    </xf>
    <xf numFmtId="0" fontId="5" fillId="5" borderId="8" xfId="0" applyFont="1" applyFill="1" applyBorder="1" applyAlignment="1">
      <alignment vertical="center" wrapText="1"/>
    </xf>
    <xf numFmtId="3" fontId="5" fillId="5" borderId="8" xfId="0" applyNumberFormat="1" applyFont="1" applyFill="1" applyBorder="1" applyAlignment="1">
      <alignment vertical="center" wrapText="1"/>
    </xf>
    <xf numFmtId="0" fontId="5" fillId="5" borderId="0" xfId="0" applyFont="1" applyFill="1" applyAlignment="1">
      <alignment vertical="center"/>
    </xf>
    <xf numFmtId="166" fontId="7" fillId="0" borderId="0" xfId="2" applyNumberFormat="1" applyFont="1"/>
    <xf numFmtId="168" fontId="7" fillId="0" borderId="0" xfId="2" applyNumberFormat="1" applyFont="1"/>
    <xf numFmtId="166" fontId="7" fillId="0" borderId="0" xfId="0" applyNumberFormat="1" applyFont="1"/>
    <xf numFmtId="167" fontId="7" fillId="0" borderId="0" xfId="2" applyNumberFormat="1" applyFont="1"/>
    <xf numFmtId="166" fontId="34" fillId="0" borderId="0" xfId="2" applyNumberFormat="1" applyFont="1"/>
    <xf numFmtId="0" fontId="7" fillId="0" borderId="0" xfId="0" applyFont="1" applyAlignment="1">
      <alignment horizontal="center" vertical="center"/>
    </xf>
    <xf numFmtId="0" fontId="34" fillId="0" borderId="0" xfId="0" applyFont="1" applyAlignment="1">
      <alignment horizontal="center"/>
    </xf>
    <xf numFmtId="167" fontId="34" fillId="0" borderId="0" xfId="2" applyNumberFormat="1" applyFont="1" applyAlignment="1">
      <alignment horizontal="center"/>
    </xf>
    <xf numFmtId="0" fontId="34" fillId="0" borderId="1" xfId="0" applyFont="1" applyBorder="1" applyAlignment="1">
      <alignment horizontal="center" vertical="center"/>
    </xf>
    <xf numFmtId="166" fontId="34" fillId="0" borderId="1" xfId="2" applyNumberFormat="1" applyFont="1" applyBorder="1" applyAlignment="1">
      <alignment horizontal="center" vertical="center"/>
    </xf>
    <xf numFmtId="168" fontId="34" fillId="0" borderId="1" xfId="2" applyNumberFormat="1" applyFont="1" applyBorder="1" applyAlignment="1">
      <alignment horizontal="center" vertical="center"/>
    </xf>
    <xf numFmtId="167" fontId="34" fillId="0" borderId="1" xfId="2" applyNumberFormat="1" applyFont="1" applyBorder="1" applyAlignment="1">
      <alignment horizontal="center" vertical="center"/>
    </xf>
    <xf numFmtId="166" fontId="34" fillId="0" borderId="1" xfId="0" applyNumberFormat="1" applyFont="1" applyBorder="1" applyAlignment="1">
      <alignment horizontal="center" vertical="center"/>
    </xf>
    <xf numFmtId="166" fontId="34" fillId="0" borderId="1" xfId="0" applyNumberFormat="1" applyFont="1" applyBorder="1" applyAlignment="1">
      <alignment horizontal="center" vertical="center" wrapText="1"/>
    </xf>
    <xf numFmtId="0" fontId="34" fillId="0" borderId="1" xfId="0" applyFont="1" applyBorder="1"/>
    <xf numFmtId="166" fontId="34" fillId="0" borderId="1" xfId="2" applyNumberFormat="1" applyFont="1" applyBorder="1"/>
    <xf numFmtId="168" fontId="34" fillId="0" borderId="1" xfId="2" applyNumberFormat="1" applyFont="1" applyBorder="1"/>
    <xf numFmtId="167" fontId="34" fillId="0" borderId="1" xfId="2" applyNumberFormat="1" applyFont="1" applyBorder="1"/>
    <xf numFmtId="166" fontId="34" fillId="0" borderId="1" xfId="0" applyNumberFormat="1" applyFont="1" applyBorder="1"/>
    <xf numFmtId="0" fontId="7" fillId="0" borderId="7" xfId="0" applyFont="1" applyBorder="1"/>
    <xf numFmtId="166" fontId="7" fillId="0" borderId="7" xfId="2" applyNumberFormat="1" applyFont="1" applyBorder="1"/>
    <xf numFmtId="168" fontId="7" fillId="0" borderId="7" xfId="2" applyNumberFormat="1" applyFont="1" applyBorder="1"/>
    <xf numFmtId="167" fontId="7" fillId="0" borderId="7" xfId="2" applyNumberFormat="1" applyFont="1" applyBorder="1"/>
    <xf numFmtId="166" fontId="7" fillId="0" borderId="7" xfId="0" applyNumberFormat="1" applyFont="1" applyBorder="1"/>
    <xf numFmtId="0" fontId="7" fillId="0" borderId="8" xfId="0" applyFont="1" applyBorder="1"/>
    <xf numFmtId="166" fontId="7" fillId="0" borderId="8" xfId="2" applyNumberFormat="1" applyFont="1" applyBorder="1"/>
    <xf numFmtId="168" fontId="7" fillId="0" borderId="8" xfId="2" applyNumberFormat="1" applyFont="1" applyBorder="1"/>
    <xf numFmtId="167" fontId="7" fillId="0" borderId="8" xfId="2" applyNumberFormat="1" applyFont="1" applyBorder="1"/>
    <xf numFmtId="166" fontId="7" fillId="0" borderId="8" xfId="0" applyNumberFormat="1" applyFont="1" applyBorder="1"/>
    <xf numFmtId="0" fontId="7" fillId="0" borderId="9" xfId="0" applyFont="1" applyBorder="1"/>
    <xf numFmtId="166" fontId="7" fillId="0" borderId="9" xfId="2" applyNumberFormat="1" applyFont="1" applyBorder="1"/>
    <xf numFmtId="168" fontId="7" fillId="0" borderId="9" xfId="2" applyNumberFormat="1" applyFont="1" applyBorder="1"/>
    <xf numFmtId="167" fontId="7" fillId="0" borderId="9" xfId="2" applyNumberFormat="1" applyFont="1" applyBorder="1"/>
    <xf numFmtId="166" fontId="7" fillId="0" borderId="9" xfId="0" applyNumberFormat="1" applyFont="1" applyBorder="1"/>
    <xf numFmtId="0" fontId="34" fillId="0" borderId="1" xfId="0" applyFont="1" applyBorder="1" applyAlignment="1">
      <alignment wrapText="1"/>
    </xf>
    <xf numFmtId="0" fontId="7" fillId="0" borderId="8" xfId="0" applyFont="1" applyBorder="1" applyAlignment="1">
      <alignment wrapText="1"/>
    </xf>
    <xf numFmtId="0" fontId="0" fillId="0" borderId="0" xfId="0" applyAlignment="1">
      <alignment horizontal="center" vertical="center" wrapText="1"/>
    </xf>
    <xf numFmtId="0" fontId="40" fillId="0" borderId="0" xfId="0" applyFont="1" applyAlignment="1">
      <alignment horizontal="center" vertical="center"/>
    </xf>
    <xf numFmtId="0" fontId="45" fillId="0" borderId="0" xfId="0" applyFont="1"/>
    <xf numFmtId="3" fontId="40" fillId="0" borderId="0" xfId="0" applyNumberFormat="1" applyFont="1"/>
    <xf numFmtId="166" fontId="0" fillId="0" borderId="0" xfId="2" applyNumberFormat="1" applyFont="1" applyAlignment="1">
      <alignment horizontal="center" vertical="center" wrapText="1"/>
    </xf>
    <xf numFmtId="0" fontId="7" fillId="0" borderId="1" xfId="0" applyFont="1" applyBorder="1" applyAlignment="1"/>
    <xf numFmtId="166" fontId="7" fillId="0" borderId="1" xfId="2" applyNumberFormat="1" applyFont="1" applyBorder="1" applyAlignment="1"/>
    <xf numFmtId="168" fontId="7" fillId="0" borderId="1" xfId="2" applyNumberFormat="1" applyFont="1" applyBorder="1" applyAlignment="1"/>
    <xf numFmtId="167" fontId="7" fillId="0" borderId="1" xfId="2" applyNumberFormat="1" applyFont="1" applyBorder="1" applyAlignment="1"/>
    <xf numFmtId="166" fontId="7" fillId="0" borderId="1" xfId="0" applyNumberFormat="1" applyFont="1" applyBorder="1" applyAlignment="1"/>
    <xf numFmtId="166" fontId="7" fillId="0" borderId="8" xfId="2" applyNumberFormat="1" applyFont="1" applyBorder="1" applyAlignment="1"/>
    <xf numFmtId="0" fontId="7" fillId="0" borderId="0" xfId="0" applyFont="1" applyAlignment="1"/>
    <xf numFmtId="166" fontId="34" fillId="4" borderId="1" xfId="0" applyNumberFormat="1" applyFont="1" applyFill="1" applyBorder="1"/>
    <xf numFmtId="3" fontId="0" fillId="0" borderId="0" xfId="2" applyNumberFormat="1" applyFont="1"/>
    <xf numFmtId="3" fontId="0" fillId="4" borderId="0" xfId="2" applyNumberFormat="1" applyFont="1" applyFill="1"/>
    <xf numFmtId="3" fontId="40" fillId="0" borderId="0" xfId="2" applyNumberFormat="1" applyFont="1" applyAlignment="1">
      <alignment horizontal="center" vertical="center"/>
    </xf>
    <xf numFmtId="3" fontId="40" fillId="4" borderId="0" xfId="2" applyNumberFormat="1" applyFont="1" applyFill="1" applyAlignment="1">
      <alignment horizontal="center" vertical="center"/>
    </xf>
    <xf numFmtId="3" fontId="40" fillId="0" borderId="0" xfId="2" applyNumberFormat="1" applyFont="1"/>
    <xf numFmtId="3" fontId="40" fillId="4" borderId="0" xfId="2" applyNumberFormat="1" applyFont="1" applyFill="1"/>
    <xf numFmtId="3" fontId="45" fillId="0" borderId="0" xfId="2" applyNumberFormat="1" applyFont="1"/>
    <xf numFmtId="3" fontId="45" fillId="4" borderId="0" xfId="2" applyNumberFormat="1" applyFont="1" applyFill="1"/>
    <xf numFmtId="3" fontId="0" fillId="0" borderId="0" xfId="2" applyNumberFormat="1" applyFont="1" applyFill="1"/>
    <xf numFmtId="9" fontId="0" fillId="0" borderId="0" xfId="1" applyFont="1"/>
    <xf numFmtId="3" fontId="40" fillId="0" borderId="0" xfId="2" applyNumberFormat="1" applyFont="1" applyFill="1" applyAlignment="1">
      <alignment horizontal="center" vertical="center"/>
    </xf>
    <xf numFmtId="9" fontId="0" fillId="0" borderId="0" xfId="1" applyFont="1" applyFill="1"/>
    <xf numFmtId="3" fontId="40" fillId="0" borderId="0" xfId="2" applyNumberFormat="1" applyFont="1" applyFill="1"/>
    <xf numFmtId="3" fontId="45" fillId="0" borderId="0" xfId="2" applyNumberFormat="1" applyFont="1" applyFill="1"/>
    <xf numFmtId="9" fontId="40" fillId="0" borderId="0" xfId="1" applyFont="1"/>
    <xf numFmtId="9" fontId="40" fillId="0" borderId="0" xfId="1" applyFont="1" applyFill="1"/>
    <xf numFmtId="3" fontId="0" fillId="5" borderId="0" xfId="2" applyNumberFormat="1" applyFont="1" applyFill="1"/>
    <xf numFmtId="9" fontId="0" fillId="5" borderId="0" xfId="1" applyFont="1" applyFill="1"/>
    <xf numFmtId="166" fontId="0" fillId="0" borderId="0" xfId="2" applyNumberFormat="1" applyFont="1" applyAlignment="1">
      <alignment horizontal="center"/>
    </xf>
    <xf numFmtId="166" fontId="0" fillId="0" borderId="0" xfId="2" applyNumberFormat="1" applyFont="1" applyAlignment="1">
      <alignment horizontal="center" wrapText="1"/>
    </xf>
    <xf numFmtId="0" fontId="14" fillId="0" borderId="8" xfId="0" applyFont="1" applyBorder="1" applyAlignment="1">
      <alignment vertical="center" wrapText="1"/>
    </xf>
    <xf numFmtId="3" fontId="46" fillId="0" borderId="8" xfId="0" applyNumberFormat="1" applyFont="1" applyBorder="1" applyAlignment="1">
      <alignment vertical="center" wrapText="1"/>
    </xf>
    <xf numFmtId="166" fontId="14" fillId="0" borderId="0" xfId="2" applyNumberFormat="1" applyFont="1" applyBorder="1" applyAlignment="1">
      <alignment horizontal="right" vertical="center" wrapText="1"/>
    </xf>
    <xf numFmtId="0" fontId="47" fillId="0" borderId="8" xfId="0" applyFont="1" applyBorder="1" applyAlignment="1">
      <alignment horizontal="center" vertical="center" wrapText="1"/>
    </xf>
    <xf numFmtId="0" fontId="47" fillId="0" borderId="8" xfId="0" applyFont="1" applyBorder="1" applyAlignment="1">
      <alignment horizontal="left" vertical="center" wrapText="1"/>
    </xf>
    <xf numFmtId="3" fontId="47" fillId="0" borderId="8" xfId="0" applyNumberFormat="1" applyFont="1" applyBorder="1" applyAlignment="1">
      <alignment vertical="center" wrapText="1"/>
    </xf>
    <xf numFmtId="3" fontId="47" fillId="0" borderId="8" xfId="0" applyNumberFormat="1" applyFont="1" applyBorder="1" applyAlignment="1">
      <alignment vertical="center"/>
    </xf>
    <xf numFmtId="0" fontId="14" fillId="0" borderId="8" xfId="0" applyFont="1" applyBorder="1" applyAlignment="1">
      <alignment vertical="center" wrapText="1"/>
    </xf>
    <xf numFmtId="166" fontId="7" fillId="5" borderId="0" xfId="2" applyNumberFormat="1" applyFont="1" applyFill="1"/>
    <xf numFmtId="166" fontId="34" fillId="5" borderId="1" xfId="2" applyNumberFormat="1" applyFont="1" applyFill="1" applyBorder="1" applyAlignment="1">
      <alignment horizontal="center" vertical="center"/>
    </xf>
    <xf numFmtId="166" fontId="7" fillId="5" borderId="7" xfId="2" applyNumberFormat="1" applyFont="1" applyFill="1" applyBorder="1"/>
    <xf numFmtId="166" fontId="7" fillId="5" borderId="8" xfId="2" applyNumberFormat="1" applyFont="1" applyFill="1" applyBorder="1"/>
    <xf numFmtId="166" fontId="7" fillId="5" borderId="9" xfId="2" applyNumberFormat="1" applyFont="1" applyFill="1" applyBorder="1"/>
    <xf numFmtId="166" fontId="34" fillId="5" borderId="1" xfId="2" applyNumberFormat="1" applyFont="1" applyFill="1" applyBorder="1"/>
    <xf numFmtId="166" fontId="7" fillId="5" borderId="1" xfId="2" applyNumberFormat="1" applyFont="1" applyFill="1" applyBorder="1" applyAlignment="1"/>
    <xf numFmtId="166" fontId="34" fillId="5" borderId="0" xfId="2" applyNumberFormat="1" applyFont="1" applyFill="1"/>
    <xf numFmtId="3" fontId="47" fillId="5" borderId="8" xfId="0" applyNumberFormat="1" applyFont="1" applyFill="1" applyBorder="1" applyAlignment="1">
      <alignment vertical="center" wrapText="1"/>
    </xf>
    <xf numFmtId="3" fontId="46" fillId="5" borderId="8" xfId="0" applyNumberFormat="1" applyFont="1" applyFill="1" applyBorder="1" applyAlignment="1">
      <alignment vertical="center" wrapText="1"/>
    </xf>
    <xf numFmtId="3" fontId="0" fillId="0" borderId="0" xfId="0" applyNumberFormat="1" applyFont="1"/>
    <xf numFmtId="0" fontId="16" fillId="0" borderId="5" xfId="0" applyFont="1" applyBorder="1" applyAlignment="1">
      <alignment horizontal="left" vertical="center" wrapText="1"/>
    </xf>
    <xf numFmtId="0" fontId="5"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8" xfId="0" applyFont="1" applyBorder="1" applyAlignment="1">
      <alignment vertical="center" wrapText="1"/>
    </xf>
    <xf numFmtId="3" fontId="32" fillId="0" borderId="0" xfId="0" applyNumberFormat="1" applyFont="1" applyFill="1" applyAlignment="1">
      <alignment vertical="center"/>
    </xf>
    <xf numFmtId="3" fontId="32" fillId="0" borderId="8" xfId="0" applyNumberFormat="1" applyFont="1" applyFill="1" applyBorder="1" applyAlignment="1">
      <alignment horizontal="right" vertical="center" wrapText="1"/>
    </xf>
    <xf numFmtId="3" fontId="5" fillId="2" borderId="1" xfId="0" applyNumberFormat="1" applyFont="1" applyFill="1" applyBorder="1" applyAlignment="1">
      <alignment horizontal="center" vertical="center" wrapText="1"/>
    </xf>
    <xf numFmtId="9" fontId="5" fillId="2" borderId="1" xfId="1" applyFont="1" applyFill="1" applyBorder="1" applyAlignment="1">
      <alignment horizontal="center" vertical="center" wrapText="1"/>
    </xf>
    <xf numFmtId="0" fontId="14" fillId="0" borderId="0" xfId="0" applyFont="1" applyAlignment="1">
      <alignment horizontal="right" vertical="top"/>
    </xf>
    <xf numFmtId="2" fontId="2" fillId="2" borderId="8" xfId="0" applyNumberFormat="1" applyFont="1" applyFill="1" applyBorder="1" applyAlignment="1">
      <alignment vertical="center" wrapText="1"/>
    </xf>
    <xf numFmtId="2" fontId="16" fillId="0" borderId="8" xfId="0" applyNumberFormat="1" applyFont="1" applyBorder="1" applyAlignment="1">
      <alignment horizontal="right" vertical="center" wrapText="1"/>
    </xf>
    <xf numFmtId="0" fontId="14" fillId="0" borderId="0" xfId="0" applyFont="1" applyFill="1" applyAlignment="1">
      <alignment horizontal="right" vertical="center"/>
    </xf>
    <xf numFmtId="0" fontId="15" fillId="0" borderId="0" xfId="0" applyFont="1" applyFill="1" applyAlignment="1">
      <alignment horizontal="right" vertical="center"/>
    </xf>
    <xf numFmtId="0" fontId="2" fillId="0" borderId="0" xfId="0" applyFont="1" applyFill="1" applyAlignment="1">
      <alignment vertical="center" wrapText="1"/>
    </xf>
    <xf numFmtId="3" fontId="2" fillId="0" borderId="0" xfId="0" applyNumberFormat="1" applyFont="1" applyFill="1" applyAlignment="1">
      <alignment vertical="center" wrapText="1"/>
    </xf>
    <xf numFmtId="0" fontId="5" fillId="0" borderId="7" xfId="0" applyFont="1" applyFill="1" applyBorder="1" applyAlignment="1">
      <alignment horizontal="center" vertical="center" wrapText="1"/>
    </xf>
    <xf numFmtId="0" fontId="5" fillId="0" borderId="7" xfId="0" applyFont="1" applyFill="1" applyBorder="1" applyAlignment="1">
      <alignment vertical="center" wrapText="1"/>
    </xf>
    <xf numFmtId="3" fontId="5" fillId="0" borderId="7" xfId="0" applyNumberFormat="1" applyFont="1" applyFill="1" applyBorder="1" applyAlignment="1">
      <alignment vertical="center" wrapText="1"/>
    </xf>
    <xf numFmtId="3" fontId="5" fillId="0" borderId="0" xfId="0" applyNumberFormat="1" applyFont="1" applyFill="1" applyAlignment="1">
      <alignment vertical="center"/>
    </xf>
    <xf numFmtId="0" fontId="2" fillId="0" borderId="9" xfId="0" applyFont="1" applyFill="1" applyBorder="1" applyAlignment="1">
      <alignment horizontal="center" vertical="center" wrapText="1"/>
    </xf>
    <xf numFmtId="0" fontId="2" fillId="0" borderId="9" xfId="0" applyFont="1" applyFill="1" applyBorder="1" applyAlignment="1">
      <alignment vertical="center" wrapText="1"/>
    </xf>
    <xf numFmtId="0" fontId="13" fillId="0" borderId="0" xfId="0" applyFont="1" applyFill="1" applyAlignment="1">
      <alignment vertical="center"/>
    </xf>
    <xf numFmtId="0" fontId="6" fillId="0" borderId="0" xfId="0" applyFont="1" applyFill="1" applyAlignment="1">
      <alignment vertical="center"/>
    </xf>
    <xf numFmtId="0" fontId="0" fillId="0" borderId="0" xfId="0" applyFont="1" applyFill="1"/>
    <xf numFmtId="0" fontId="2" fillId="0" borderId="0" xfId="0" applyFont="1" applyFill="1" applyBorder="1" applyAlignment="1">
      <alignment vertical="center" wrapText="1"/>
    </xf>
    <xf numFmtId="3" fontId="2" fillId="0" borderId="0" xfId="0" applyNumberFormat="1" applyFont="1" applyFill="1" applyBorder="1" applyAlignment="1">
      <alignment vertical="center" wrapText="1"/>
    </xf>
    <xf numFmtId="0" fontId="14" fillId="0" borderId="15" xfId="0" applyFont="1" applyBorder="1" applyAlignment="1">
      <alignment vertical="center" wrapText="1"/>
    </xf>
    <xf numFmtId="3" fontId="14" fillId="0" borderId="15" xfId="0" applyNumberFormat="1" applyFont="1" applyBorder="1" applyAlignment="1">
      <alignment horizontal="right" vertical="center" wrapText="1"/>
    </xf>
    <xf numFmtId="0" fontId="16" fillId="0" borderId="10" xfId="0" applyFont="1" applyBorder="1" applyAlignment="1">
      <alignment horizontal="left" vertical="center" wrapText="1"/>
    </xf>
    <xf numFmtId="0" fontId="0" fillId="0" borderId="9" xfId="0" applyBorder="1"/>
    <xf numFmtId="0" fontId="16" fillId="0" borderId="9" xfId="0" applyFont="1" applyBorder="1" applyAlignment="1">
      <alignment horizontal="left" vertical="center" wrapText="1"/>
    </xf>
    <xf numFmtId="3" fontId="49" fillId="0" borderId="1" xfId="0" applyNumberFormat="1" applyFont="1" applyBorder="1"/>
    <xf numFmtId="0" fontId="49" fillId="0" borderId="0" xfId="0" applyFont="1"/>
    <xf numFmtId="0" fontId="16" fillId="0" borderId="5" xfId="0" applyFont="1" applyBorder="1" applyAlignment="1">
      <alignment horizontal="center" vertical="center" wrapText="1"/>
    </xf>
    <xf numFmtId="0" fontId="0" fillId="0" borderId="10" xfId="0" applyBorder="1"/>
    <xf numFmtId="169" fontId="0" fillId="0" borderId="0" xfId="2" applyNumberFormat="1" applyFont="1"/>
    <xf numFmtId="169" fontId="0" fillId="0" borderId="0" xfId="2" applyNumberFormat="1" applyFont="1" applyAlignment="1">
      <alignment horizontal="center"/>
    </xf>
    <xf numFmtId="169" fontId="38" fillId="0" borderId="0" xfId="2" applyNumberFormat="1" applyFont="1"/>
    <xf numFmtId="169" fontId="26" fillId="0" borderId="0" xfId="2" applyNumberFormat="1" applyFont="1"/>
    <xf numFmtId="9" fontId="50" fillId="0" borderId="8" xfId="1" applyFont="1" applyBorder="1" applyAlignment="1">
      <alignment horizontal="right" vertical="center" wrapText="1"/>
    </xf>
    <xf numFmtId="3" fontId="36" fillId="0" borderId="0" xfId="0" applyNumberFormat="1" applyFont="1" applyBorder="1" applyAlignment="1">
      <alignment horizontal="right" vertical="center" wrapText="1"/>
    </xf>
    <xf numFmtId="3" fontId="35" fillId="0" borderId="0" xfId="0" applyNumberFormat="1" applyFont="1"/>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3" fontId="2" fillId="2" borderId="0" xfId="0" applyNumberFormat="1" applyFont="1" applyFill="1" applyBorder="1" applyAlignment="1">
      <alignment horizontal="right" vertical="center" wrapText="1"/>
    </xf>
    <xf numFmtId="9" fontId="2" fillId="2" borderId="0" xfId="1" applyFont="1" applyFill="1" applyBorder="1" applyAlignment="1">
      <alignment horizontal="right" vertical="center" wrapText="1"/>
    </xf>
    <xf numFmtId="3" fontId="34" fillId="0" borderId="0" xfId="0" applyNumberFormat="1" applyFont="1" applyAlignment="1">
      <alignment vertical="center"/>
    </xf>
    <xf numFmtId="9" fontId="45" fillId="4" borderId="0" xfId="1" applyFont="1" applyFill="1"/>
    <xf numFmtId="3" fontId="2" fillId="2" borderId="7" xfId="0" applyNumberFormat="1" applyFont="1" applyFill="1" applyBorder="1" applyAlignment="1">
      <alignment horizontal="right" vertical="center" wrapText="1"/>
    </xf>
    <xf numFmtId="0" fontId="51" fillId="2" borderId="8" xfId="0" applyFont="1" applyFill="1" applyBorder="1" applyAlignment="1">
      <alignment vertical="center" wrapText="1"/>
    </xf>
    <xf numFmtId="9" fontId="37" fillId="2" borderId="8" xfId="1" applyFont="1" applyFill="1" applyBorder="1" applyAlignment="1">
      <alignment vertical="center" wrapText="1"/>
    </xf>
    <xf numFmtId="0" fontId="37" fillId="0" borderId="0" xfId="0" applyFont="1" applyAlignment="1">
      <alignment vertical="center"/>
    </xf>
    <xf numFmtId="0" fontId="5" fillId="2" borderId="0" xfId="0" applyFont="1" applyFill="1" applyBorder="1" applyAlignment="1">
      <alignment horizontal="center" vertical="center" wrapText="1"/>
    </xf>
    <xf numFmtId="0" fontId="5" fillId="2" borderId="0" xfId="0" applyFont="1" applyFill="1" applyBorder="1" applyAlignment="1">
      <alignment vertical="center" wrapText="1"/>
    </xf>
    <xf numFmtId="9" fontId="5" fillId="2" borderId="0" xfId="1" applyFont="1" applyFill="1" applyBorder="1" applyAlignment="1">
      <alignment horizontal="right" vertical="center" wrapText="1"/>
    </xf>
    <xf numFmtId="166" fontId="0" fillId="0" borderId="0" xfId="0" applyNumberFormat="1"/>
    <xf numFmtId="3" fontId="30" fillId="5" borderId="0" xfId="0" applyNumberFormat="1" applyFont="1" applyFill="1" applyAlignment="1">
      <alignment vertical="center"/>
    </xf>
    <xf numFmtId="0" fontId="0" fillId="0" borderId="0" xfId="0" applyFill="1" applyAlignment="1">
      <alignment vertical="center"/>
    </xf>
    <xf numFmtId="0" fontId="52" fillId="0" borderId="0" xfId="0" applyFont="1" applyFill="1" applyAlignment="1">
      <alignment vertical="center"/>
    </xf>
    <xf numFmtId="0" fontId="34" fillId="0" borderId="1" xfId="0" applyFont="1" applyFill="1" applyBorder="1" applyAlignment="1">
      <alignment vertical="center" wrapText="1"/>
    </xf>
    <xf numFmtId="0" fontId="34" fillId="0" borderId="1" xfId="0" applyFont="1" applyFill="1" applyBorder="1" applyAlignment="1">
      <alignment horizontal="center" vertical="center" wrapText="1"/>
    </xf>
    <xf numFmtId="0" fontId="34" fillId="0" borderId="15" xfId="0" applyFont="1" applyFill="1" applyBorder="1" applyAlignment="1">
      <alignment vertical="center" wrapText="1"/>
    </xf>
    <xf numFmtId="3" fontId="53" fillId="0" borderId="8" xfId="0" applyNumberFormat="1" applyFont="1" applyFill="1" applyBorder="1" applyAlignment="1">
      <alignment vertical="center"/>
    </xf>
    <xf numFmtId="9" fontId="21" fillId="0" borderId="8" xfId="1" applyFont="1" applyFill="1" applyBorder="1" applyAlignment="1">
      <alignment vertical="center"/>
    </xf>
    <xf numFmtId="3" fontId="21" fillId="0" borderId="15" xfId="0" applyNumberFormat="1" applyFont="1" applyFill="1" applyBorder="1" applyAlignment="1">
      <alignment horizontal="center" vertical="center"/>
    </xf>
    <xf numFmtId="3" fontId="21" fillId="0" borderId="15" xfId="0" applyNumberFormat="1" applyFont="1" applyFill="1" applyBorder="1" applyAlignment="1">
      <alignment horizontal="left" vertical="center"/>
    </xf>
    <xf numFmtId="3" fontId="54" fillId="0" borderId="8" xfId="0" applyNumberFormat="1" applyFont="1" applyFill="1" applyBorder="1" applyAlignment="1">
      <alignment vertical="center"/>
    </xf>
    <xf numFmtId="3" fontId="21" fillId="0" borderId="8" xfId="0" applyNumberFormat="1" applyFont="1" applyFill="1" applyBorder="1" applyAlignment="1">
      <alignment horizontal="center" vertical="center"/>
    </xf>
    <xf numFmtId="3" fontId="21" fillId="0" borderId="8" xfId="0" applyNumberFormat="1" applyFont="1" applyFill="1" applyBorder="1" applyAlignment="1">
      <alignment vertical="center"/>
    </xf>
    <xf numFmtId="3" fontId="23" fillId="0" borderId="8" xfId="0" applyNumberFormat="1" applyFont="1" applyFill="1" applyBorder="1" applyAlignment="1">
      <alignment horizontal="center" vertical="center"/>
    </xf>
    <xf numFmtId="3" fontId="23" fillId="0" borderId="8" xfId="0" applyNumberFormat="1" applyFont="1" applyFill="1" applyBorder="1" applyAlignment="1">
      <alignment vertical="center"/>
    </xf>
    <xf numFmtId="3" fontId="55" fillId="0" borderId="8" xfId="0" applyNumberFormat="1" applyFont="1" applyFill="1" applyBorder="1" applyAlignment="1">
      <alignment vertical="center"/>
    </xf>
    <xf numFmtId="9" fontId="23" fillId="0" borderId="8" xfId="1" applyFont="1" applyFill="1" applyBorder="1" applyAlignment="1">
      <alignment vertical="center"/>
    </xf>
    <xf numFmtId="3" fontId="56" fillId="0" borderId="8" xfId="0" applyNumberFormat="1" applyFont="1" applyFill="1" applyBorder="1" applyAlignment="1">
      <alignment vertical="center"/>
    </xf>
    <xf numFmtId="9" fontId="54" fillId="0" borderId="8" xfId="1" applyFont="1" applyFill="1" applyBorder="1" applyAlignment="1">
      <alignment vertical="center"/>
    </xf>
    <xf numFmtId="3" fontId="21" fillId="0" borderId="8" xfId="0" applyNumberFormat="1" applyFont="1" applyFill="1" applyBorder="1" applyAlignment="1">
      <alignment horizontal="left" vertical="center" wrapText="1"/>
    </xf>
    <xf numFmtId="3" fontId="57" fillId="0" borderId="8" xfId="0" applyNumberFormat="1" applyFont="1" applyFill="1" applyBorder="1" applyAlignment="1">
      <alignment vertical="center"/>
    </xf>
    <xf numFmtId="3" fontId="58" fillId="0" borderId="8" xfId="0" applyNumberFormat="1" applyFont="1" applyFill="1" applyBorder="1" applyAlignment="1">
      <alignment vertical="center"/>
    </xf>
    <xf numFmtId="3" fontId="59" fillId="0" borderId="8" xfId="0" applyNumberFormat="1" applyFont="1" applyFill="1" applyBorder="1" applyAlignment="1">
      <alignment vertical="center"/>
    </xf>
    <xf numFmtId="3" fontId="36" fillId="0" borderId="8" xfId="0" applyNumberFormat="1" applyFont="1" applyFill="1" applyBorder="1" applyAlignment="1">
      <alignment vertical="center"/>
    </xf>
    <xf numFmtId="3" fontId="60" fillId="0" borderId="8" xfId="0" applyNumberFormat="1" applyFont="1" applyFill="1" applyBorder="1" applyAlignment="1">
      <alignment vertical="center"/>
    </xf>
    <xf numFmtId="3" fontId="32" fillId="0" borderId="8" xfId="0" applyNumberFormat="1" applyFont="1" applyFill="1" applyBorder="1" applyAlignment="1">
      <alignment vertical="center"/>
    </xf>
    <xf numFmtId="3" fontId="61" fillId="0" borderId="8" xfId="0" applyNumberFormat="1" applyFont="1" applyFill="1" applyBorder="1" applyAlignment="1">
      <alignment vertical="center"/>
    </xf>
    <xf numFmtId="3" fontId="62" fillId="0" borderId="8" xfId="0" applyNumberFormat="1" applyFont="1" applyFill="1" applyBorder="1" applyAlignment="1">
      <alignment vertical="center"/>
    </xf>
    <xf numFmtId="0" fontId="63" fillId="0" borderId="8" xfId="0" applyFont="1" applyFill="1" applyBorder="1" applyAlignment="1">
      <alignment horizontal="center" vertical="center" wrapText="1"/>
    </xf>
    <xf numFmtId="0" fontId="63" fillId="0" borderId="8" xfId="0" applyFont="1" applyFill="1" applyBorder="1" applyAlignment="1">
      <alignment horizontal="left" vertical="center" wrapText="1"/>
    </xf>
    <xf numFmtId="3" fontId="64" fillId="0" borderId="8" xfId="0" applyNumberFormat="1" applyFont="1" applyFill="1" applyBorder="1" applyAlignment="1">
      <alignment horizontal="center" vertical="center"/>
    </xf>
    <xf numFmtId="3" fontId="64" fillId="0" borderId="8" xfId="0" applyNumberFormat="1" applyFont="1" applyFill="1" applyBorder="1" applyAlignment="1">
      <alignment vertical="center"/>
    </xf>
    <xf numFmtId="3" fontId="23" fillId="0" borderId="10" xfId="0" applyNumberFormat="1" applyFont="1" applyFill="1" applyBorder="1" applyAlignment="1">
      <alignment vertical="center"/>
    </xf>
    <xf numFmtId="0" fontId="64" fillId="0" borderId="8" xfId="0" applyFont="1" applyFill="1" applyBorder="1" applyAlignment="1">
      <alignment horizontal="center" vertical="center" wrapText="1"/>
    </xf>
    <xf numFmtId="0" fontId="64" fillId="0" borderId="8" xfId="0" applyFont="1" applyFill="1" applyBorder="1" applyAlignment="1">
      <alignment horizontal="left" vertical="center" wrapText="1"/>
    </xf>
    <xf numFmtId="3" fontId="57" fillId="0" borderId="10" xfId="0" applyNumberFormat="1" applyFont="1" applyFill="1" applyBorder="1" applyAlignment="1">
      <alignment vertical="center"/>
    </xf>
    <xf numFmtId="3" fontId="36" fillId="0" borderId="10" xfId="0" applyNumberFormat="1" applyFont="1" applyFill="1" applyBorder="1" applyAlignment="1">
      <alignment vertical="center"/>
    </xf>
    <xf numFmtId="3" fontId="65" fillId="0" borderId="8" xfId="0" applyNumberFormat="1" applyFont="1" applyFill="1" applyBorder="1" applyAlignment="1">
      <alignment vertical="center"/>
    </xf>
    <xf numFmtId="3" fontId="66" fillId="0" borderId="10" xfId="0" applyNumberFormat="1" applyFont="1" applyFill="1" applyBorder="1" applyAlignment="1">
      <alignment vertical="center"/>
    </xf>
    <xf numFmtId="3" fontId="67" fillId="0" borderId="8" xfId="0" applyNumberFormat="1" applyFont="1" applyFill="1" applyBorder="1" applyAlignment="1">
      <alignment vertical="center"/>
    </xf>
    <xf numFmtId="3" fontId="68" fillId="0" borderId="8" xfId="0" applyNumberFormat="1" applyFont="1" applyFill="1" applyBorder="1" applyAlignment="1">
      <alignment horizontal="center" vertical="center"/>
    </xf>
    <xf numFmtId="3" fontId="69" fillId="0" borderId="8" xfId="0" applyNumberFormat="1" applyFont="1" applyFill="1" applyBorder="1" applyAlignment="1">
      <alignment vertical="center"/>
    </xf>
    <xf numFmtId="3" fontId="70" fillId="0" borderId="8" xfId="0" applyNumberFormat="1" applyFont="1" applyFill="1" applyBorder="1" applyAlignment="1">
      <alignment vertical="center"/>
    </xf>
    <xf numFmtId="3" fontId="64" fillId="0" borderId="10" xfId="0" applyNumberFormat="1" applyFont="1" applyFill="1" applyBorder="1" applyAlignment="1">
      <alignment horizontal="center" vertical="center"/>
    </xf>
    <xf numFmtId="3" fontId="64" fillId="0" borderId="10" xfId="0" applyNumberFormat="1" applyFont="1" applyFill="1" applyBorder="1" applyAlignment="1">
      <alignment vertical="center"/>
    </xf>
    <xf numFmtId="3" fontId="56" fillId="0" borderId="10" xfId="0" applyNumberFormat="1" applyFont="1" applyFill="1" applyBorder="1" applyAlignment="1">
      <alignment vertical="center"/>
    </xf>
    <xf numFmtId="3" fontId="23" fillId="0" borderId="10" xfId="0" applyNumberFormat="1" applyFont="1" applyFill="1" applyBorder="1" applyAlignment="1">
      <alignment horizontal="center" vertical="center"/>
    </xf>
    <xf numFmtId="0" fontId="0" fillId="0" borderId="9" xfId="0" applyFill="1" applyBorder="1" applyAlignment="1">
      <alignment vertical="center" wrapText="1"/>
    </xf>
    <xf numFmtId="3" fontId="14" fillId="0" borderId="1" xfId="0" applyNumberFormat="1" applyFont="1" applyBorder="1" applyAlignment="1">
      <alignment horizontal="center" vertical="center" wrapText="1"/>
    </xf>
    <xf numFmtId="3" fontId="16" fillId="0" borderId="9" xfId="0" applyNumberFormat="1" applyFont="1" applyBorder="1" applyAlignment="1">
      <alignment horizontal="center" vertical="center" wrapText="1"/>
    </xf>
    <xf numFmtId="165" fontId="16" fillId="0" borderId="8" xfId="1" applyNumberFormat="1" applyFont="1" applyBorder="1" applyAlignment="1">
      <alignment horizontal="center" vertical="center" wrapText="1"/>
    </xf>
    <xf numFmtId="165" fontId="14" fillId="0" borderId="7" xfId="1" applyNumberFormat="1" applyFont="1" applyBorder="1" applyAlignment="1">
      <alignment horizontal="center" vertical="center" wrapText="1"/>
    </xf>
    <xf numFmtId="3" fontId="5" fillId="2"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6" fillId="0" borderId="1" xfId="0" applyFont="1" applyBorder="1" applyAlignment="1">
      <alignment horizontal="center" vertical="center" wrapText="1"/>
    </xf>
    <xf numFmtId="3" fontId="2" fillId="0" borderId="0" xfId="0" applyNumberFormat="1" applyFont="1" applyAlignment="1">
      <alignment horizontal="right" vertical="center"/>
    </xf>
    <xf numFmtId="0" fontId="2" fillId="0" borderId="0" xfId="0" applyFont="1" applyAlignment="1">
      <alignment horizontal="center" vertical="center"/>
    </xf>
    <xf numFmtId="3" fontId="0" fillId="0" borderId="0" xfId="0" applyNumberFormat="1" applyAlignment="1">
      <alignment horizontal="right"/>
    </xf>
    <xf numFmtId="3" fontId="14" fillId="0" borderId="0" xfId="0" applyNumberFormat="1" applyFont="1" applyAlignment="1">
      <alignment horizontal="right" vertical="center"/>
    </xf>
    <xf numFmtId="3" fontId="15" fillId="0" borderId="0" xfId="0" applyNumberFormat="1" applyFont="1" applyAlignment="1">
      <alignment horizontal="right" vertical="center"/>
    </xf>
    <xf numFmtId="0" fontId="0" fillId="0" borderId="0" xfId="0" applyAlignment="1">
      <alignment horizontal="center" vertical="center"/>
    </xf>
    <xf numFmtId="3" fontId="16" fillId="0" borderId="1" xfId="0" applyNumberFormat="1" applyFont="1" applyBorder="1" applyAlignment="1">
      <alignment horizontal="center" vertical="center" wrapText="1"/>
    </xf>
    <xf numFmtId="0" fontId="0" fillId="0" borderId="0" xfId="0" applyFont="1" applyAlignment="1">
      <alignment horizontal="center" vertical="center"/>
    </xf>
    <xf numFmtId="165" fontId="14" fillId="0" borderId="7" xfId="1" applyNumberFormat="1" applyFont="1" applyBorder="1" applyAlignment="1">
      <alignment horizontal="right" vertical="center" wrapText="1"/>
    </xf>
    <xf numFmtId="165" fontId="16" fillId="0" borderId="8" xfId="1" applyNumberFormat="1" applyFont="1" applyBorder="1" applyAlignment="1">
      <alignment horizontal="right" vertical="center" wrapText="1"/>
    </xf>
    <xf numFmtId="3" fontId="5" fillId="5" borderId="8" xfId="0" applyNumberFormat="1" applyFont="1" applyFill="1" applyBorder="1" applyAlignment="1">
      <alignment horizontal="right" vertical="center" wrapText="1"/>
    </xf>
    <xf numFmtId="9" fontId="5" fillId="5" borderId="8" xfId="1" applyFont="1" applyFill="1" applyBorder="1" applyAlignment="1">
      <alignment horizontal="right" vertical="center" wrapText="1"/>
    </xf>
    <xf numFmtId="3" fontId="5" fillId="5" borderId="7" xfId="0" applyNumberFormat="1" applyFont="1" applyFill="1" applyBorder="1" applyAlignment="1">
      <alignment vertical="center" wrapText="1"/>
    </xf>
    <xf numFmtId="10" fontId="38" fillId="0" borderId="0" xfId="0" applyNumberFormat="1" applyFont="1"/>
    <xf numFmtId="10" fontId="0" fillId="0" borderId="0" xfId="0" applyNumberFormat="1"/>
    <xf numFmtId="0" fontId="38" fillId="0" borderId="6" xfId="0" applyFont="1" applyBorder="1"/>
    <xf numFmtId="0" fontId="71" fillId="0" borderId="0" xfId="0" applyFont="1"/>
    <xf numFmtId="2" fontId="38" fillId="0" borderId="0" xfId="0" applyNumberFormat="1" applyFont="1"/>
    <xf numFmtId="3" fontId="16" fillId="0" borderId="8" xfId="0" applyNumberFormat="1" applyFont="1" applyFill="1" applyBorder="1" applyAlignment="1">
      <alignment horizontal="right" vertical="center" wrapText="1"/>
    </xf>
    <xf numFmtId="0" fontId="49" fillId="0" borderId="0" xfId="0" applyFont="1" applyAlignment="1">
      <alignment horizontal="center"/>
    </xf>
    <xf numFmtId="0" fontId="23" fillId="0" borderId="0" xfId="3" applyFont="1" applyFill="1" applyAlignment="1">
      <alignment vertical="center"/>
    </xf>
    <xf numFmtId="0" fontId="23" fillId="0" borderId="0" xfId="3" applyFont="1" applyFill="1" applyAlignment="1">
      <alignment horizontal="right" vertical="center"/>
    </xf>
    <xf numFmtId="0" fontId="74" fillId="0" borderId="0" xfId="3" applyNumberFormat="1" applyFont="1" applyFill="1" applyAlignment="1">
      <alignment vertical="center"/>
    </xf>
    <xf numFmtId="0" fontId="21" fillId="0" borderId="0" xfId="3" applyNumberFormat="1" applyFont="1" applyFill="1" applyAlignment="1">
      <alignment horizontal="right" vertical="center"/>
    </xf>
    <xf numFmtId="0" fontId="74" fillId="0" borderId="0" xfId="3" applyNumberFormat="1" applyFont="1" applyFill="1" applyAlignment="1">
      <alignment horizontal="center" vertical="center"/>
    </xf>
    <xf numFmtId="0" fontId="23" fillId="0" borderId="0" xfId="3" applyFont="1" applyFill="1"/>
    <xf numFmtId="0" fontId="22" fillId="0" borderId="0" xfId="3" applyNumberFormat="1" applyFont="1" applyFill="1" applyAlignment="1">
      <alignment horizontal="center" vertical="center" wrapText="1"/>
    </xf>
    <xf numFmtId="170" fontId="6" fillId="0" borderId="0" xfId="3" applyNumberFormat="1" applyFont="1" applyFill="1" applyBorder="1" applyAlignment="1">
      <alignment horizontal="right"/>
    </xf>
    <xf numFmtId="0" fontId="75" fillId="0" borderId="0" xfId="3" applyFont="1" applyFill="1" applyAlignment="1">
      <alignment vertical="center"/>
    </xf>
    <xf numFmtId="0" fontId="0" fillId="7" borderId="0" xfId="0" applyFill="1"/>
    <xf numFmtId="3" fontId="0" fillId="7" borderId="0" xfId="0" applyNumberFormat="1" applyFill="1"/>
    <xf numFmtId="3" fontId="23" fillId="0" borderId="0" xfId="3" applyNumberFormat="1" applyFont="1" applyFill="1"/>
    <xf numFmtId="1" fontId="22" fillId="0" borderId="0" xfId="3" applyNumberFormat="1" applyFont="1" applyFill="1" applyAlignment="1">
      <alignment horizontal="center" vertical="center" wrapText="1"/>
    </xf>
    <xf numFmtId="1" fontId="23" fillId="0" borderId="0" xfId="3" applyNumberFormat="1" applyFont="1" applyFill="1"/>
    <xf numFmtId="0" fontId="21" fillId="0" borderId="0" xfId="3" applyFont="1" applyFill="1"/>
    <xf numFmtId="170" fontId="21" fillId="0" borderId="5" xfId="3" applyNumberFormat="1" applyFont="1" applyFill="1" applyBorder="1" applyAlignment="1">
      <alignment horizontal="center" vertical="center" wrapText="1"/>
    </xf>
    <xf numFmtId="170" fontId="21" fillId="0" borderId="0" xfId="3" applyNumberFormat="1" applyFont="1" applyFill="1" applyAlignment="1">
      <alignment vertical="center" wrapText="1"/>
    </xf>
    <xf numFmtId="1" fontId="21" fillId="0" borderId="1" xfId="3" applyNumberFormat="1" applyFont="1" applyFill="1" applyBorder="1" applyAlignment="1" applyProtection="1">
      <alignment horizontal="center" vertical="center" wrapText="1"/>
    </xf>
    <xf numFmtId="170" fontId="21" fillId="0" borderId="1" xfId="3" applyNumberFormat="1" applyFont="1" applyFill="1" applyBorder="1" applyAlignment="1" applyProtection="1">
      <alignment horizontal="center" vertical="center" wrapText="1"/>
    </xf>
    <xf numFmtId="170" fontId="21" fillId="0" borderId="1" xfId="3" applyNumberFormat="1" applyFont="1" applyFill="1" applyBorder="1" applyAlignment="1">
      <alignment horizontal="center" vertical="center" wrapText="1"/>
    </xf>
    <xf numFmtId="1" fontId="23" fillId="0" borderId="8" xfId="3" applyNumberFormat="1" applyFont="1" applyFill="1" applyBorder="1" applyAlignment="1">
      <alignment horizontal="center" vertical="center"/>
    </xf>
    <xf numFmtId="170" fontId="23" fillId="0" borderId="8" xfId="3" applyNumberFormat="1" applyFont="1" applyFill="1" applyBorder="1" applyAlignment="1" applyProtection="1">
      <alignment horizontal="left" vertical="center"/>
    </xf>
    <xf numFmtId="3" fontId="23" fillId="0" borderId="8" xfId="3" applyNumberFormat="1" applyFont="1" applyFill="1" applyBorder="1"/>
    <xf numFmtId="0" fontId="23" fillId="0" borderId="8" xfId="3" applyFont="1" applyFill="1" applyBorder="1"/>
    <xf numFmtId="1" fontId="23" fillId="0" borderId="9" xfId="3" applyNumberFormat="1" applyFont="1" applyFill="1" applyBorder="1" applyAlignment="1">
      <alignment horizontal="center" vertical="center"/>
    </xf>
    <xf numFmtId="170" fontId="23" fillId="0" borderId="9" xfId="3" applyNumberFormat="1" applyFont="1" applyFill="1" applyBorder="1" applyAlignment="1" applyProtection="1">
      <alignment horizontal="left" vertical="center"/>
    </xf>
    <xf numFmtId="3" fontId="23" fillId="0" borderId="9" xfId="3" applyNumberFormat="1" applyFont="1" applyFill="1" applyBorder="1"/>
    <xf numFmtId="0" fontId="23" fillId="0" borderId="9" xfId="3" applyFont="1" applyFill="1" applyBorder="1"/>
    <xf numFmtId="0" fontId="23" fillId="0" borderId="6" xfId="3" applyFont="1" applyFill="1" applyBorder="1"/>
    <xf numFmtId="0" fontId="34" fillId="0" borderId="8" xfId="0" applyFont="1" applyBorder="1" applyAlignment="1">
      <alignment vertical="center" wrapText="1"/>
    </xf>
    <xf numFmtId="0" fontId="34" fillId="0" borderId="15" xfId="0" applyFont="1" applyBorder="1" applyAlignment="1">
      <alignment vertical="center" wrapText="1"/>
    </xf>
    <xf numFmtId="3" fontId="21" fillId="0" borderId="8" xfId="0" applyNumberFormat="1" applyFont="1" applyFill="1" applyBorder="1" applyAlignment="1">
      <alignment horizontal="left" vertical="center"/>
    </xf>
    <xf numFmtId="3" fontId="83" fillId="0" borderId="8" xfId="0" applyNumberFormat="1" applyFont="1" applyFill="1" applyBorder="1" applyAlignment="1">
      <alignment vertical="center"/>
    </xf>
    <xf numFmtId="3" fontId="23" fillId="0" borderId="8" xfId="0" quotePrefix="1" applyNumberFormat="1" applyFont="1" applyFill="1" applyBorder="1" applyAlignment="1">
      <alignment vertical="center"/>
    </xf>
    <xf numFmtId="3" fontId="84" fillId="0" borderId="15" xfId="0" applyNumberFormat="1" applyFont="1" applyFill="1" applyBorder="1" applyAlignment="1">
      <alignment horizontal="center" vertical="center"/>
    </xf>
    <xf numFmtId="3" fontId="84" fillId="0" borderId="15" xfId="0" applyNumberFormat="1" applyFont="1" applyFill="1" applyBorder="1" applyAlignment="1">
      <alignment horizontal="left" vertical="center"/>
    </xf>
    <xf numFmtId="0" fontId="85" fillId="0" borderId="0" xfId="0" applyFont="1" applyAlignment="1">
      <alignment vertical="center"/>
    </xf>
    <xf numFmtId="3" fontId="5" fillId="0" borderId="8" xfId="0" applyNumberFormat="1" applyFont="1" applyFill="1" applyBorder="1" applyAlignment="1">
      <alignment horizontal="left" vertical="center" wrapText="1"/>
    </xf>
    <xf numFmtId="3" fontId="23" fillId="0" borderId="8" xfId="0" applyNumberFormat="1" applyFont="1" applyFill="1" applyBorder="1" applyAlignment="1">
      <alignment horizontal="left" vertical="center" wrapText="1"/>
    </xf>
    <xf numFmtId="3" fontId="2" fillId="0" borderId="8" xfId="0" applyNumberFormat="1" applyFont="1" applyFill="1" applyBorder="1" applyAlignment="1">
      <alignment vertical="center"/>
    </xf>
    <xf numFmtId="3" fontId="5" fillId="0" borderId="8" xfId="0" applyNumberFormat="1" applyFont="1" applyFill="1" applyBorder="1" applyAlignment="1">
      <alignment horizontal="center" vertical="center" wrapText="1"/>
    </xf>
    <xf numFmtId="3" fontId="23" fillId="0" borderId="8" xfId="0" applyNumberFormat="1" applyFont="1" applyFill="1" applyBorder="1" applyAlignment="1">
      <alignment horizontal="right" vertical="center" wrapText="1"/>
    </xf>
    <xf numFmtId="0" fontId="7" fillId="0" borderId="0" xfId="0" applyFont="1" applyFill="1" applyAlignment="1">
      <alignment vertical="center"/>
    </xf>
    <xf numFmtId="9" fontId="7" fillId="0" borderId="0" xfId="1" applyFont="1" applyFill="1" applyAlignment="1">
      <alignment horizontal="right" vertical="center"/>
    </xf>
    <xf numFmtId="0" fontId="49" fillId="0" borderId="0" xfId="0" applyFont="1" applyFill="1" applyAlignment="1">
      <alignment horizontal="left" vertical="center"/>
    </xf>
    <xf numFmtId="0" fontId="7" fillId="0" borderId="0" xfId="0" applyFont="1" applyFill="1" applyAlignment="1">
      <alignment vertical="center" wrapText="1"/>
    </xf>
    <xf numFmtId="0" fontId="34" fillId="0" borderId="7" xfId="0" applyFont="1" applyFill="1" applyBorder="1" applyAlignment="1">
      <alignment horizontal="center" vertical="center" wrapText="1"/>
    </xf>
    <xf numFmtId="0" fontId="34" fillId="0" borderId="7" xfId="0" applyFont="1" applyFill="1" applyBorder="1" applyAlignment="1">
      <alignment vertical="center" wrapText="1"/>
    </xf>
    <xf numFmtId="3" fontId="34" fillId="0" borderId="7" xfId="0" applyNumberFormat="1" applyFont="1" applyFill="1" applyBorder="1" applyAlignment="1">
      <alignment vertical="center" wrapText="1"/>
    </xf>
    <xf numFmtId="9" fontId="34" fillId="0" borderId="8" xfId="1" applyFont="1" applyFill="1" applyBorder="1" applyAlignment="1">
      <alignment vertical="center" wrapText="1"/>
    </xf>
    <xf numFmtId="0" fontId="34" fillId="0" borderId="0" xfId="0" applyFont="1" applyFill="1" applyAlignment="1">
      <alignment vertical="center"/>
    </xf>
    <xf numFmtId="0" fontId="34" fillId="0" borderId="8" xfId="0" applyFont="1" applyFill="1" applyBorder="1" applyAlignment="1">
      <alignment horizontal="center" vertical="center" wrapText="1"/>
    </xf>
    <xf numFmtId="0" fontId="34" fillId="0" borderId="8" xfId="0" applyFont="1" applyFill="1" applyBorder="1" applyAlignment="1">
      <alignment vertical="center" wrapText="1"/>
    </xf>
    <xf numFmtId="3" fontId="34" fillId="0" borderId="8" xfId="0" applyNumberFormat="1" applyFont="1" applyFill="1" applyBorder="1" applyAlignment="1">
      <alignment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vertical="center" wrapText="1"/>
    </xf>
    <xf numFmtId="3" fontId="7" fillId="0" borderId="8" xfId="0" applyNumberFormat="1" applyFont="1" applyFill="1" applyBorder="1" applyAlignment="1">
      <alignment vertical="center" wrapText="1"/>
    </xf>
    <xf numFmtId="9" fontId="7" fillId="0" borderId="8" xfId="1" applyFont="1" applyFill="1" applyBorder="1" applyAlignment="1">
      <alignment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9" fontId="34" fillId="0" borderId="9" xfId="1" applyFont="1" applyFill="1" applyBorder="1" applyAlignment="1">
      <alignment vertical="center" wrapText="1"/>
    </xf>
    <xf numFmtId="9" fontId="7" fillId="0" borderId="0" xfId="1" applyFont="1" applyFill="1" applyAlignment="1">
      <alignment vertical="center"/>
    </xf>
    <xf numFmtId="0" fontId="25" fillId="0" borderId="0" xfId="0" applyFont="1" applyFill="1"/>
    <xf numFmtId="9" fontId="14" fillId="0" borderId="0" xfId="1" applyFont="1" applyFill="1" applyAlignment="1">
      <alignment horizontal="right" vertical="center"/>
    </xf>
    <xf numFmtId="0" fontId="49" fillId="0" borderId="0" xfId="0" applyFont="1" applyFill="1" applyAlignment="1">
      <alignment horizontal="left"/>
    </xf>
    <xf numFmtId="9" fontId="15" fillId="0" borderId="0" xfId="1" applyFont="1" applyFill="1" applyAlignment="1">
      <alignment horizontal="right"/>
    </xf>
    <xf numFmtId="0" fontId="14" fillId="0" borderId="1"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7" xfId="0" applyFont="1" applyFill="1" applyBorder="1" applyAlignment="1">
      <alignment vertical="center" wrapText="1"/>
    </xf>
    <xf numFmtId="0" fontId="16" fillId="0" borderId="7" xfId="0" applyFont="1" applyFill="1" applyBorder="1" applyAlignment="1">
      <alignment vertical="center" wrapText="1"/>
    </xf>
    <xf numFmtId="9" fontId="16" fillId="0" borderId="7" xfId="1" applyFont="1" applyFill="1" applyBorder="1" applyAlignment="1">
      <alignment vertical="center" wrapText="1"/>
    </xf>
    <xf numFmtId="0" fontId="14" fillId="0" borderId="8" xfId="0" applyFont="1" applyFill="1" applyBorder="1" applyAlignment="1">
      <alignment horizontal="center" vertical="center" wrapText="1"/>
    </xf>
    <xf numFmtId="0" fontId="14" fillId="0" borderId="8" xfId="0" applyFont="1" applyFill="1" applyBorder="1" applyAlignment="1">
      <alignment vertical="center" wrapText="1"/>
    </xf>
    <xf numFmtId="9" fontId="14" fillId="0" borderId="8" xfId="1" applyFont="1" applyFill="1" applyBorder="1" applyAlignment="1">
      <alignment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vertical="center" wrapText="1"/>
    </xf>
    <xf numFmtId="3" fontId="39" fillId="0" borderId="8" xfId="0" applyNumberFormat="1" applyFont="1" applyFill="1" applyBorder="1" applyAlignment="1">
      <alignment vertical="center" wrapText="1"/>
    </xf>
    <xf numFmtId="9" fontId="16" fillId="0" borderId="8" xfId="1" applyFont="1" applyFill="1" applyBorder="1" applyAlignment="1">
      <alignment vertical="center" wrapText="1"/>
    </xf>
    <xf numFmtId="3" fontId="48" fillId="0" borderId="8" xfId="0" applyNumberFormat="1" applyFont="1" applyFill="1" applyBorder="1" applyAlignment="1">
      <alignment vertical="center" wrapText="1"/>
    </xf>
    <xf numFmtId="0" fontId="16" fillId="0" borderId="9" xfId="0" applyFont="1" applyFill="1" applyBorder="1" applyAlignment="1">
      <alignment horizontal="center" vertical="center" wrapText="1"/>
    </xf>
    <xf numFmtId="0" fontId="16" fillId="0" borderId="9" xfId="0" applyFont="1" applyFill="1" applyBorder="1" applyAlignment="1">
      <alignment vertical="center" wrapText="1"/>
    </xf>
    <xf numFmtId="3" fontId="39" fillId="0" borderId="9" xfId="0" applyNumberFormat="1" applyFont="1" applyFill="1" applyBorder="1" applyAlignment="1">
      <alignment vertical="center" wrapText="1"/>
    </xf>
    <xf numFmtId="9" fontId="16" fillId="0" borderId="9" xfId="1" applyFont="1" applyFill="1" applyBorder="1" applyAlignment="1">
      <alignment vertical="center" wrapText="1"/>
    </xf>
    <xf numFmtId="0" fontId="34" fillId="0" borderId="0" xfId="0" applyFont="1" applyFill="1" applyAlignment="1">
      <alignment vertical="center" wrapText="1"/>
    </xf>
    <xf numFmtId="0" fontId="34" fillId="0" borderId="0" xfId="0" applyFont="1" applyFill="1" applyAlignment="1">
      <alignment horizontal="center" vertical="center" wrapText="1"/>
    </xf>
    <xf numFmtId="0" fontId="7" fillId="0" borderId="0" xfId="0" applyFont="1" applyFill="1" applyAlignment="1"/>
    <xf numFmtId="3" fontId="7" fillId="0" borderId="0" xfId="0" applyNumberFormat="1" applyFont="1" applyFill="1" applyAlignment="1"/>
    <xf numFmtId="9" fontId="34" fillId="0" borderId="1" xfId="1" quotePrefix="1" applyNumberFormat="1" applyFont="1" applyFill="1" applyBorder="1" applyAlignment="1">
      <alignment horizontal="center" vertical="center" wrapText="1"/>
    </xf>
    <xf numFmtId="3" fontId="34" fillId="0" borderId="7" xfId="0" applyNumberFormat="1" applyFont="1" applyFill="1" applyBorder="1" applyAlignment="1">
      <alignment horizontal="right" vertical="center" wrapText="1"/>
    </xf>
    <xf numFmtId="9" fontId="34" fillId="0" borderId="8" xfId="1" applyNumberFormat="1" applyFont="1" applyFill="1" applyBorder="1" applyAlignment="1">
      <alignment horizontal="right" vertical="center" wrapText="1"/>
    </xf>
    <xf numFmtId="3" fontId="34" fillId="0" borderId="8" xfId="0" applyNumberFormat="1" applyFont="1" applyFill="1" applyBorder="1" applyAlignment="1">
      <alignment horizontal="right" vertical="center" wrapText="1"/>
    </xf>
    <xf numFmtId="9" fontId="7" fillId="0" borderId="8" xfId="1" applyNumberFormat="1" applyFont="1" applyFill="1" applyBorder="1" applyAlignment="1">
      <alignment horizontal="right" vertical="center" wrapText="1"/>
    </xf>
    <xf numFmtId="3" fontId="7" fillId="0" borderId="8" xfId="0" applyNumberFormat="1" applyFont="1" applyFill="1" applyBorder="1" applyAlignment="1">
      <alignment horizontal="right" vertical="center" wrapText="1"/>
    </xf>
    <xf numFmtId="0" fontId="89" fillId="0" borderId="8" xfId="0" applyFont="1" applyFill="1" applyBorder="1" applyAlignment="1">
      <alignment horizontal="center" vertical="center" wrapText="1"/>
    </xf>
    <xf numFmtId="0" fontId="89" fillId="0" borderId="8" xfId="0" applyFont="1" applyFill="1" applyBorder="1" applyAlignment="1">
      <alignment vertical="center" wrapText="1"/>
    </xf>
    <xf numFmtId="3" fontId="89" fillId="0" borderId="8" xfId="0" applyNumberFormat="1" applyFont="1" applyFill="1" applyBorder="1" applyAlignment="1">
      <alignment horizontal="right" vertical="center" wrapText="1"/>
    </xf>
    <xf numFmtId="3" fontId="89" fillId="0" borderId="8" xfId="0" applyNumberFormat="1" applyFont="1" applyFill="1" applyBorder="1" applyAlignment="1">
      <alignment vertical="center" wrapText="1"/>
    </xf>
    <xf numFmtId="9" fontId="89" fillId="0" borderId="8" xfId="1" applyNumberFormat="1" applyFont="1" applyFill="1" applyBorder="1" applyAlignment="1">
      <alignment horizontal="right" vertical="center" wrapText="1"/>
    </xf>
    <xf numFmtId="0" fontId="89" fillId="0" borderId="0" xfId="0" applyFont="1" applyFill="1" applyAlignment="1">
      <alignment vertical="center"/>
    </xf>
    <xf numFmtId="3" fontId="7" fillId="0" borderId="8" xfId="0" applyNumberFormat="1" applyFont="1" applyFill="1" applyBorder="1" applyAlignment="1">
      <alignment horizontal="right" vertical="center"/>
    </xf>
    <xf numFmtId="3" fontId="34" fillId="0" borderId="9" xfId="0" applyNumberFormat="1" applyFont="1" applyFill="1" applyBorder="1" applyAlignment="1">
      <alignment horizontal="right" vertical="center" wrapText="1"/>
    </xf>
    <xf numFmtId="9" fontId="34" fillId="0" borderId="9" xfId="1" applyNumberFormat="1" applyFont="1" applyFill="1" applyBorder="1" applyAlignment="1">
      <alignment horizontal="right" vertical="center" wrapText="1"/>
    </xf>
    <xf numFmtId="0" fontId="90" fillId="0" borderId="0" xfId="0" applyFont="1" applyFill="1" applyAlignment="1">
      <alignment vertical="center"/>
    </xf>
    <xf numFmtId="9" fontId="7" fillId="0" borderId="0" xfId="1" applyNumberFormat="1" applyFont="1" applyFill="1" applyAlignment="1">
      <alignment vertical="center"/>
    </xf>
    <xf numFmtId="3" fontId="7" fillId="0" borderId="10" xfId="0" applyNumberFormat="1" applyFont="1" applyFill="1" applyBorder="1" applyAlignment="1">
      <alignment horizontal="right" vertical="center" wrapText="1"/>
    </xf>
    <xf numFmtId="3" fontId="7" fillId="0" borderId="9" xfId="0" applyNumberFormat="1" applyFont="1" applyFill="1" applyBorder="1" applyAlignment="1">
      <alignment horizontal="right" vertical="center" wrapText="1"/>
    </xf>
    <xf numFmtId="0" fontId="34" fillId="0" borderId="0" xfId="0" applyFont="1" applyFill="1" applyAlignment="1">
      <alignment horizontal="right" vertical="center" wrapText="1"/>
    </xf>
    <xf numFmtId="0" fontId="7" fillId="0" borderId="10" xfId="0" applyFont="1" applyFill="1" applyBorder="1" applyAlignment="1">
      <alignment horizontal="center" vertical="center" wrapText="1"/>
    </xf>
    <xf numFmtId="0" fontId="7" fillId="0" borderId="10" xfId="0" applyFont="1" applyFill="1" applyBorder="1" applyAlignment="1">
      <alignment vertical="center" wrapText="1"/>
    </xf>
    <xf numFmtId="1" fontId="82" fillId="0" borderId="15" xfId="3" applyNumberFormat="1" applyFont="1" applyFill="1" applyBorder="1" applyAlignment="1" applyProtection="1">
      <alignment horizontal="center" vertical="center"/>
    </xf>
    <xf numFmtId="170" fontId="21" fillId="0" borderId="15" xfId="3" applyNumberFormat="1" applyFont="1" applyFill="1" applyBorder="1" applyAlignment="1">
      <alignment horizontal="center" vertical="center"/>
    </xf>
    <xf numFmtId="170" fontId="82" fillId="0" borderId="15" xfId="3" applyNumberFormat="1" applyFont="1" applyFill="1" applyBorder="1" applyAlignment="1">
      <alignment horizontal="right" vertical="center"/>
    </xf>
    <xf numFmtId="170" fontId="82" fillId="0" borderId="15" xfId="3" applyNumberFormat="1" applyFont="1" applyFill="1" applyBorder="1" applyAlignment="1">
      <alignment horizontal="center" vertical="center"/>
    </xf>
    <xf numFmtId="0" fontId="75" fillId="0" borderId="15" xfId="3" applyFont="1" applyFill="1" applyBorder="1" applyAlignment="1">
      <alignment vertical="center"/>
    </xf>
    <xf numFmtId="0" fontId="49" fillId="0" borderId="0" xfId="0" applyFont="1" applyFill="1" applyAlignment="1">
      <alignment vertical="center"/>
    </xf>
    <xf numFmtId="0" fontId="87" fillId="0" borderId="0" xfId="0" applyFont="1" applyFill="1" applyAlignment="1">
      <alignment vertical="center"/>
    </xf>
    <xf numFmtId="0" fontId="91" fillId="0" borderId="0" xfId="0" applyFont="1" applyFill="1" applyAlignment="1">
      <alignment horizontal="right" vertical="center"/>
    </xf>
    <xf numFmtId="0" fontId="49" fillId="0" borderId="1" xfId="0" applyFont="1" applyFill="1" applyBorder="1" applyAlignment="1">
      <alignment horizontal="center" vertical="center" wrapText="1"/>
    </xf>
    <xf numFmtId="3" fontId="49" fillId="0" borderId="8" xfId="0" applyNumberFormat="1" applyFont="1" applyFill="1" applyBorder="1" applyAlignment="1">
      <alignment vertical="center"/>
    </xf>
    <xf numFmtId="3" fontId="49" fillId="0" borderId="8" xfId="0" applyNumberFormat="1" applyFont="1" applyFill="1" applyBorder="1" applyAlignment="1">
      <alignment horizontal="center" vertical="center"/>
    </xf>
    <xf numFmtId="3" fontId="49" fillId="0" borderId="8" xfId="0" applyNumberFormat="1" applyFont="1" applyFill="1" applyBorder="1" applyAlignment="1">
      <alignment horizontal="left" vertical="center"/>
    </xf>
    <xf numFmtId="3" fontId="25" fillId="0" borderId="8" xfId="0" applyNumberFormat="1" applyFont="1" applyFill="1" applyBorder="1" applyAlignment="1">
      <alignment horizontal="center" vertical="center"/>
    </xf>
    <xf numFmtId="3" fontId="25" fillId="0" borderId="8" xfId="0" applyNumberFormat="1" applyFont="1" applyFill="1" applyBorder="1" applyAlignment="1">
      <alignment vertical="center"/>
    </xf>
    <xf numFmtId="3" fontId="92" fillId="0" borderId="8" xfId="0" applyNumberFormat="1" applyFont="1" applyFill="1" applyBorder="1" applyAlignment="1">
      <alignment vertical="center"/>
    </xf>
    <xf numFmtId="0" fontId="0" fillId="0" borderId="0" xfId="0" applyFont="1" applyFill="1" applyAlignment="1">
      <alignment vertical="center"/>
    </xf>
    <xf numFmtId="0" fontId="91" fillId="0" borderId="0" xfId="0" applyFont="1" applyFill="1" applyAlignment="1">
      <alignment vertical="center"/>
    </xf>
    <xf numFmtId="3" fontId="25" fillId="0" borderId="9" xfId="0" applyNumberFormat="1" applyFont="1" applyFill="1" applyBorder="1" applyAlignment="1">
      <alignment horizontal="center" vertical="center"/>
    </xf>
    <xf numFmtId="3" fontId="25" fillId="0" borderId="9" xfId="0" applyNumberFormat="1" applyFont="1" applyFill="1" applyBorder="1" applyAlignment="1">
      <alignment vertical="center"/>
    </xf>
    <xf numFmtId="3" fontId="92" fillId="0" borderId="9" xfId="0" applyNumberFormat="1" applyFont="1" applyFill="1" applyBorder="1" applyAlignment="1">
      <alignment vertical="center"/>
    </xf>
    <xf numFmtId="0" fontId="1" fillId="0" borderId="0" xfId="0" applyFont="1" applyAlignment="1">
      <alignment horizontal="righ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Border="1" applyAlignment="1">
      <alignment horizontal="center" vertical="center" wrapText="1"/>
    </xf>
    <xf numFmtId="0" fontId="2" fillId="0" borderId="0"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right"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Border="1" applyAlignment="1">
      <alignment horizontal="center" vertical="center" wrapText="1"/>
    </xf>
    <xf numFmtId="0" fontId="9"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0" xfId="0" applyFont="1" applyAlignment="1">
      <alignment horizontal="center" wrapText="1"/>
    </xf>
    <xf numFmtId="0" fontId="5" fillId="0" borderId="0" xfId="0" applyFont="1" applyAlignment="1">
      <alignment horizontal="right" vertical="center"/>
    </xf>
    <xf numFmtId="0" fontId="5" fillId="0" borderId="0" xfId="0" applyFont="1" applyAlignment="1">
      <alignment horizontal="center" vertical="center"/>
    </xf>
    <xf numFmtId="3" fontId="6" fillId="0" borderId="0" xfId="0" applyNumberFormat="1" applyFont="1" applyBorder="1" applyAlignment="1">
      <alignment horizontal="center" vertical="center" wrapText="1"/>
    </xf>
    <xf numFmtId="0" fontId="6" fillId="0" borderId="0" xfId="0" applyFont="1" applyBorder="1" applyAlignment="1">
      <alignment horizontal="left" wrapText="1"/>
    </xf>
    <xf numFmtId="0" fontId="6" fillId="0" borderId="0" xfId="0" applyFont="1" applyBorder="1" applyAlignment="1">
      <alignment horizontal="center" vertical="center"/>
    </xf>
    <xf numFmtId="3" fontId="6" fillId="0" borderId="0" xfId="0" applyNumberFormat="1" applyFont="1" applyBorder="1" applyAlignment="1">
      <alignment horizontal="right" vertical="center"/>
    </xf>
    <xf numFmtId="3" fontId="5" fillId="2" borderId="1" xfId="0" applyNumberFormat="1" applyFont="1" applyFill="1" applyBorder="1" applyAlignment="1">
      <alignment horizontal="center" vertical="center" wrapText="1"/>
    </xf>
    <xf numFmtId="0" fontId="13" fillId="0" borderId="0" xfId="0" applyFont="1" applyBorder="1" applyAlignment="1">
      <alignment horizontal="left" vertical="center" wrapText="1"/>
    </xf>
    <xf numFmtId="0" fontId="2" fillId="0" borderId="0" xfId="0" applyFont="1" applyAlignment="1">
      <alignment horizontal="center" vertical="center" wrapText="1"/>
    </xf>
    <xf numFmtId="0" fontId="13" fillId="0" borderId="2" xfId="0" applyFont="1" applyBorder="1" applyAlignment="1">
      <alignment horizontal="left" vertical="center" wrapText="1"/>
    </xf>
    <xf numFmtId="0" fontId="35" fillId="2" borderId="1" xfId="0" applyFont="1" applyFill="1" applyBorder="1" applyAlignment="1">
      <alignment horizontal="center" vertical="center" wrapText="1"/>
    </xf>
    <xf numFmtId="0" fontId="88" fillId="0" borderId="0" xfId="0" applyFont="1" applyFill="1" applyAlignment="1">
      <alignment horizontal="center" vertical="center" wrapText="1"/>
    </xf>
    <xf numFmtId="0" fontId="34" fillId="0" borderId="17" xfId="0" applyFont="1" applyFill="1" applyBorder="1" applyAlignment="1">
      <alignment horizontal="center" vertical="center" wrapText="1"/>
    </xf>
    <xf numFmtId="0" fontId="34" fillId="0" borderId="19" xfId="0" applyFont="1" applyFill="1" applyBorder="1" applyAlignment="1">
      <alignment horizontal="center" vertical="center" wrapText="1"/>
    </xf>
    <xf numFmtId="0" fontId="89" fillId="0" borderId="6" xfId="0" applyFont="1" applyFill="1" applyBorder="1" applyAlignment="1">
      <alignment horizontal="center" wrapText="1"/>
    </xf>
    <xf numFmtId="0" fontId="49" fillId="0" borderId="0" xfId="0" applyFont="1" applyFill="1" applyAlignment="1">
      <alignment horizontal="left" vertical="center"/>
    </xf>
    <xf numFmtId="0" fontId="34" fillId="0" borderId="1" xfId="0" applyFont="1" applyFill="1" applyBorder="1" applyAlignment="1">
      <alignment horizontal="center" vertical="center" wrapText="1"/>
    </xf>
    <xf numFmtId="0" fontId="49" fillId="0" borderId="0" xfId="0" applyFont="1" applyFill="1" applyAlignment="1">
      <alignment horizontal="left"/>
    </xf>
    <xf numFmtId="0" fontId="18"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49" fillId="0" borderId="0" xfId="0" applyFont="1" applyFill="1" applyAlignment="1">
      <alignment horizontal="center" vertical="center" wrapText="1"/>
    </xf>
    <xf numFmtId="9" fontId="34" fillId="0" borderId="3" xfId="1" applyNumberFormat="1" applyFont="1" applyFill="1" applyBorder="1" applyAlignment="1">
      <alignment horizontal="center" vertical="center" wrapText="1"/>
    </xf>
    <xf numFmtId="9" fontId="34" fillId="0" borderId="5" xfId="1" applyNumberFormat="1" applyFont="1" applyFill="1" applyBorder="1" applyAlignment="1">
      <alignment horizontal="center" vertical="center" wrapText="1"/>
    </xf>
    <xf numFmtId="9" fontId="34" fillId="0" borderId="1" xfId="1" applyNumberFormat="1" applyFont="1" applyFill="1" applyBorder="1" applyAlignment="1">
      <alignment horizontal="center" vertical="center" wrapText="1"/>
    </xf>
    <xf numFmtId="0" fontId="34" fillId="0" borderId="3"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34" fillId="0" borderId="11" xfId="0" applyFont="1" applyFill="1" applyBorder="1" applyAlignment="1">
      <alignment horizontal="center" vertical="center" wrapText="1"/>
    </xf>
    <xf numFmtId="0" fontId="34" fillId="0" borderId="13" xfId="0" applyFont="1" applyFill="1" applyBorder="1" applyAlignment="1">
      <alignment horizontal="center" vertical="center" wrapText="1"/>
    </xf>
    <xf numFmtId="9" fontId="89" fillId="0" borderId="6" xfId="1" applyNumberFormat="1" applyFont="1" applyFill="1" applyBorder="1" applyAlignment="1">
      <alignment horizontal="center" wrapText="1"/>
    </xf>
    <xf numFmtId="0" fontId="88" fillId="0" borderId="0" xfId="0" applyFont="1" applyFill="1" applyAlignment="1">
      <alignment horizontal="center" wrapText="1"/>
    </xf>
    <xf numFmtId="0" fontId="49" fillId="0" borderId="0" xfId="0" applyFont="1" applyFill="1" applyAlignment="1">
      <alignment horizontal="left" vertical="center" wrapText="1"/>
    </xf>
    <xf numFmtId="0" fontId="89" fillId="0" borderId="6" xfId="0" applyFont="1" applyFill="1" applyBorder="1" applyAlignment="1">
      <alignment horizontal="center"/>
    </xf>
    <xf numFmtId="0" fontId="89" fillId="0" borderId="0" xfId="0" applyFont="1" applyFill="1" applyAlignment="1">
      <alignment horizontal="left" vertical="center" wrapText="1"/>
    </xf>
    <xf numFmtId="0" fontId="34" fillId="0" borderId="12" xfId="0" applyFont="1" applyFill="1" applyBorder="1" applyAlignment="1">
      <alignment horizontal="center" vertical="center" wrapText="1"/>
    </xf>
    <xf numFmtId="165" fontId="6" fillId="0" borderId="0" xfId="1" applyNumberFormat="1" applyFont="1" applyBorder="1" applyAlignment="1">
      <alignment horizontal="center" vertical="center" wrapText="1"/>
    </xf>
    <xf numFmtId="165" fontId="5" fillId="2" borderId="11" xfId="1" applyNumberFormat="1" applyFont="1" applyFill="1" applyBorder="1" applyAlignment="1">
      <alignment horizontal="center" vertical="center" wrapText="1"/>
    </xf>
    <xf numFmtId="165" fontId="5" fillId="2" borderId="13" xfId="1" applyNumberFormat="1" applyFont="1" applyFill="1" applyBorder="1" applyAlignment="1">
      <alignment horizontal="center" vertical="center" wrapText="1"/>
    </xf>
    <xf numFmtId="165" fontId="5" fillId="2" borderId="12" xfId="1"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2" xfId="0"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165" fontId="5" fillId="2" borderId="3" xfId="1" applyNumberFormat="1" applyFont="1" applyFill="1" applyBorder="1" applyAlignment="1">
      <alignment horizontal="center" vertical="center" wrapText="1"/>
    </xf>
    <xf numFmtId="165" fontId="5" fillId="2" borderId="5" xfId="1" applyNumberFormat="1" applyFont="1" applyFill="1" applyBorder="1" applyAlignment="1">
      <alignment horizontal="center" vertical="center" wrapText="1"/>
    </xf>
    <xf numFmtId="165" fontId="5" fillId="2" borderId="4" xfId="1"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2" fillId="5" borderId="0" xfId="0" applyNumberFormat="1" applyFont="1" applyFill="1" applyAlignment="1">
      <alignment horizontal="center" vertical="center" wrapText="1"/>
    </xf>
    <xf numFmtId="0" fontId="2" fillId="5"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xf>
    <xf numFmtId="0" fontId="18" fillId="0" borderId="0" xfId="0" applyFont="1" applyAlignment="1">
      <alignment horizontal="center" vertical="center" wrapText="1"/>
    </xf>
    <xf numFmtId="0" fontId="17" fillId="0" borderId="0" xfId="0" applyFont="1" applyBorder="1" applyAlignment="1">
      <alignment horizontal="left" vertical="center" wrapText="1"/>
    </xf>
    <xf numFmtId="166" fontId="0" fillId="0" borderId="0" xfId="2" applyNumberFormat="1" applyFont="1" applyAlignment="1">
      <alignment horizontal="center"/>
    </xf>
    <xf numFmtId="166" fontId="0" fillId="0" borderId="0" xfId="2" applyNumberFormat="1" applyFont="1" applyAlignment="1">
      <alignment horizont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4" fillId="0" borderId="0" xfId="0" applyFont="1" applyAlignment="1">
      <alignment horizontal="center" vertical="center" wrapText="1"/>
    </xf>
    <xf numFmtId="169" fontId="0" fillId="0" borderId="0" xfId="2" applyNumberFormat="1" applyFont="1" applyAlignment="1">
      <alignment horizontal="center"/>
    </xf>
    <xf numFmtId="0" fontId="7" fillId="0" borderId="0" xfId="0" applyFont="1" applyAlignment="1">
      <alignment horizontal="center"/>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8" fillId="0" borderId="0" xfId="0" applyFont="1" applyAlignment="1">
      <alignment horizontal="center" vertical="center"/>
    </xf>
    <xf numFmtId="3" fontId="2" fillId="0" borderId="0" xfId="0" applyNumberFormat="1" applyFont="1" applyFill="1" applyAlignment="1">
      <alignment horizontal="center" vertical="center" wrapText="1"/>
    </xf>
    <xf numFmtId="0" fontId="14" fillId="0" borderId="0" xfId="0" applyFont="1" applyFill="1" applyAlignment="1">
      <alignment horizontal="center" vertical="center" wrapText="1"/>
    </xf>
    <xf numFmtId="0" fontId="14" fillId="0" borderId="0" xfId="0" applyFont="1" applyFill="1" applyAlignment="1">
      <alignment horizontal="center" vertical="center"/>
    </xf>
    <xf numFmtId="0" fontId="5" fillId="0" borderId="1" xfId="0" applyFont="1" applyFill="1" applyBorder="1" applyAlignment="1">
      <alignment horizontal="center" vertical="center" wrapText="1"/>
    </xf>
    <xf numFmtId="0" fontId="49" fillId="0" borderId="0" xfId="0" applyFont="1" applyAlignment="1">
      <alignment horizontal="left"/>
    </xf>
    <xf numFmtId="0" fontId="15" fillId="0" borderId="0" xfId="0" applyFont="1" applyAlignment="1">
      <alignment horizontal="center" vertical="center" wrapText="1"/>
    </xf>
    <xf numFmtId="0" fontId="72" fillId="0" borderId="0" xfId="0" applyFont="1" applyAlignment="1">
      <alignment horizontal="center" vertical="center" wrapText="1"/>
    </xf>
    <xf numFmtId="170" fontId="21" fillId="0" borderId="1" xfId="3" applyNumberFormat="1" applyFont="1" applyFill="1" applyBorder="1" applyAlignment="1">
      <alignment horizontal="center" vertical="center" wrapText="1"/>
    </xf>
    <xf numFmtId="170" fontId="21" fillId="0" borderId="7" xfId="3" applyNumberFormat="1" applyFont="1" applyFill="1" applyBorder="1" applyAlignment="1">
      <alignment horizontal="center" vertical="center" wrapText="1"/>
    </xf>
    <xf numFmtId="170" fontId="21" fillId="0" borderId="9" xfId="3" applyNumberFormat="1" applyFont="1" applyFill="1" applyBorder="1" applyAlignment="1">
      <alignment horizontal="center" vertical="center" wrapText="1"/>
    </xf>
    <xf numFmtId="0" fontId="21" fillId="0" borderId="7" xfId="3" applyFont="1" applyFill="1" applyBorder="1" applyAlignment="1">
      <alignment horizontal="center" vertical="center" wrapText="1"/>
    </xf>
    <xf numFmtId="0" fontId="21" fillId="0" borderId="9" xfId="3" applyFont="1" applyFill="1" applyBorder="1" applyAlignment="1">
      <alignment horizontal="center" vertical="center" wrapText="1"/>
    </xf>
    <xf numFmtId="0" fontId="81" fillId="0" borderId="0" xfId="3" applyNumberFormat="1" applyFont="1" applyFill="1" applyAlignment="1">
      <alignment horizontal="center" vertical="center" wrapText="1"/>
    </xf>
    <xf numFmtId="1" fontId="21" fillId="0" borderId="3" xfId="3" applyNumberFormat="1" applyFont="1" applyFill="1" applyBorder="1" applyAlignment="1" applyProtection="1">
      <alignment horizontal="center" vertical="center" wrapText="1"/>
    </xf>
    <xf numFmtId="1" fontId="21" fillId="0" borderId="4" xfId="3" applyNumberFormat="1" applyFont="1" applyFill="1" applyBorder="1" applyAlignment="1" applyProtection="1">
      <alignment horizontal="center" vertical="center" wrapText="1"/>
    </xf>
    <xf numFmtId="1" fontId="21" fillId="0" borderId="5" xfId="3" applyNumberFormat="1" applyFont="1" applyFill="1" applyBorder="1" applyAlignment="1" applyProtection="1">
      <alignment horizontal="center" vertical="center" wrapText="1"/>
    </xf>
    <xf numFmtId="170" fontId="21" fillId="0" borderId="3" xfId="3" applyNumberFormat="1" applyFont="1" applyFill="1" applyBorder="1" applyAlignment="1" applyProtection="1">
      <alignment horizontal="center" vertical="center" wrapText="1"/>
    </xf>
    <xf numFmtId="170" fontId="21" fillId="0" borderId="4" xfId="3" applyNumberFormat="1" applyFont="1" applyFill="1" applyBorder="1" applyAlignment="1" applyProtection="1">
      <alignment horizontal="center" vertical="center" wrapText="1"/>
    </xf>
    <xf numFmtId="170" fontId="21" fillId="0" borderId="5" xfId="3" applyNumberFormat="1" applyFont="1" applyFill="1" applyBorder="1" applyAlignment="1" applyProtection="1">
      <alignment horizontal="center" vertical="center" wrapText="1"/>
    </xf>
    <xf numFmtId="170" fontId="21" fillId="0" borderId="1" xfId="3" applyNumberFormat="1" applyFont="1" applyFill="1" applyBorder="1" applyAlignment="1" applyProtection="1">
      <alignment horizontal="center" vertical="center" wrapText="1"/>
    </xf>
    <xf numFmtId="170" fontId="21" fillId="0" borderId="7" xfId="3" applyNumberFormat="1" applyFont="1" applyFill="1" applyBorder="1" applyAlignment="1" applyProtection="1">
      <alignment horizontal="center" vertical="center" wrapText="1"/>
    </xf>
    <xf numFmtId="170" fontId="21" fillId="0" borderId="9" xfId="3" applyNumberFormat="1" applyFont="1" applyFill="1" applyBorder="1" applyAlignment="1" applyProtection="1">
      <alignment horizontal="center" vertical="center" wrapText="1"/>
    </xf>
    <xf numFmtId="0" fontId="49" fillId="0" borderId="1" xfId="0" applyFont="1" applyFill="1" applyBorder="1" applyAlignment="1">
      <alignment horizontal="center" vertical="center" wrapText="1"/>
    </xf>
    <xf numFmtId="0" fontId="34" fillId="0" borderId="0" xfId="0" applyFont="1" applyFill="1" applyAlignment="1">
      <alignment horizontal="right"/>
    </xf>
    <xf numFmtId="3" fontId="49" fillId="0" borderId="1" xfId="0" applyNumberFormat="1" applyFont="1" applyFill="1" applyBorder="1" applyAlignment="1">
      <alignment horizontal="center" vertical="center"/>
    </xf>
    <xf numFmtId="0" fontId="88" fillId="0" borderId="0" xfId="0" applyFont="1" applyFill="1" applyAlignment="1">
      <alignment horizontal="center" vertical="center"/>
    </xf>
    <xf numFmtId="0" fontId="49" fillId="0" borderId="0" xfId="0" applyFont="1" applyAlignment="1">
      <alignment horizontal="center"/>
    </xf>
    <xf numFmtId="0" fontId="14" fillId="0" borderId="16" xfId="0" applyFont="1" applyBorder="1" applyAlignment="1">
      <alignment horizontal="center" vertical="center" wrapText="1"/>
    </xf>
    <xf numFmtId="0" fontId="14" fillId="0" borderId="18" xfId="0" applyFont="1" applyBorder="1" applyAlignment="1">
      <alignment horizontal="center" vertical="center" wrapText="1"/>
    </xf>
    <xf numFmtId="0" fontId="15" fillId="0" borderId="0" xfId="0" applyFont="1" applyBorder="1" applyAlignment="1">
      <alignment horizontal="left" vertical="center" wrapText="1"/>
    </xf>
    <xf numFmtId="0" fontId="0" fillId="0" borderId="0" xfId="0" applyAlignment="1">
      <alignment horizontal="center" vertical="center" wrapText="1"/>
    </xf>
    <xf numFmtId="0" fontId="17" fillId="0" borderId="2" xfId="0" applyFont="1" applyBorder="1" applyAlignment="1">
      <alignment horizontal="left" vertical="center" wrapText="1"/>
    </xf>
    <xf numFmtId="0" fontId="14" fillId="0" borderId="8" xfId="0" applyFont="1" applyBorder="1" applyAlignment="1">
      <alignment vertical="center" wrapText="1"/>
    </xf>
    <xf numFmtId="0" fontId="16"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0" xfId="0" applyFont="1" applyAlignment="1">
      <alignment horizontal="center" vertical="center" wrapText="1"/>
    </xf>
    <xf numFmtId="3" fontId="40" fillId="0" borderId="14" xfId="0" applyNumberFormat="1" applyFont="1" applyBorder="1" applyAlignment="1">
      <alignment horizontal="center"/>
    </xf>
    <xf numFmtId="3" fontId="40" fillId="0" borderId="0" xfId="0" applyNumberFormat="1" applyFont="1" applyBorder="1" applyAlignment="1">
      <alignment horizontal="center"/>
    </xf>
    <xf numFmtId="3" fontId="34" fillId="0" borderId="0" xfId="0" applyNumberFormat="1" applyFont="1" applyBorder="1" applyAlignment="1">
      <alignment horizontal="center" vertical="center" wrapText="1"/>
    </xf>
    <xf numFmtId="3" fontId="7" fillId="0" borderId="0" xfId="0" applyNumberFormat="1" applyFont="1" applyBorder="1" applyAlignment="1">
      <alignment horizontal="center" vertical="center" wrapText="1"/>
    </xf>
    <xf numFmtId="167" fontId="34" fillId="0" borderId="0" xfId="2" applyNumberFormat="1" applyFont="1" applyAlignment="1">
      <alignment horizontal="center"/>
    </xf>
    <xf numFmtId="166" fontId="7" fillId="0" borderId="6" xfId="0" applyNumberFormat="1" applyFont="1" applyBorder="1" applyAlignment="1">
      <alignment horizontal="center"/>
    </xf>
    <xf numFmtId="0" fontId="7" fillId="0" borderId="6" xfId="0" applyFont="1" applyBorder="1" applyAlignment="1">
      <alignment horizontal="center"/>
    </xf>
    <xf numFmtId="3" fontId="40" fillId="0" borderId="0" xfId="2" applyNumberFormat="1" applyFont="1" applyFill="1" applyAlignment="1">
      <alignment horizontal="center" vertical="center" wrapText="1"/>
    </xf>
    <xf numFmtId="0" fontId="40" fillId="0" borderId="0" xfId="0" applyFont="1" applyAlignment="1">
      <alignment horizontal="center" vertical="center"/>
    </xf>
    <xf numFmtId="3" fontId="40" fillId="0" borderId="0" xfId="2" applyNumberFormat="1" applyFont="1" applyAlignment="1">
      <alignment horizontal="center" vertical="center"/>
    </xf>
    <xf numFmtId="3" fontId="40" fillId="4" borderId="0" xfId="2" applyNumberFormat="1" applyFont="1" applyFill="1" applyAlignment="1">
      <alignment horizontal="center" vertical="center"/>
    </xf>
    <xf numFmtId="3" fontId="40" fillId="0" borderId="0" xfId="2" applyNumberFormat="1" applyFont="1" applyFill="1" applyAlignment="1">
      <alignment horizontal="center" vertical="center"/>
    </xf>
    <xf numFmtId="3" fontId="40" fillId="0" borderId="0" xfId="2" applyNumberFormat="1" applyFont="1" applyAlignment="1">
      <alignment horizontal="center" vertical="center" wrapText="1"/>
    </xf>
  </cellXfs>
  <cellStyles count="12">
    <cellStyle name="Comma" xfId="2" builtinId="3"/>
    <cellStyle name="Comma 2" xfId="4"/>
    <cellStyle name="Currency 2" xfId="5"/>
    <cellStyle name="HAI" xfId="6"/>
    <cellStyle name="Normal" xfId="0" builtinId="0"/>
    <cellStyle name="Normal 2" xfId="3"/>
    <cellStyle name="Normal 3" xfId="7"/>
    <cellStyle name="Normal 4" xfId="8"/>
    <cellStyle name="Normal 5" xfId="9"/>
    <cellStyle name="Normal 6" xfId="10"/>
    <cellStyle name="Normal 7" xfId="1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3.xml"/><Relationship Id="rId89" Type="http://schemas.openxmlformats.org/officeDocument/2006/relationships/externalLink" Target="externalLinks/externalLink1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3.xml"/><Relationship Id="rId79" Type="http://schemas.openxmlformats.org/officeDocument/2006/relationships/externalLink" Target="externalLinks/externalLink8.xml"/><Relationship Id="rId5" Type="http://schemas.openxmlformats.org/officeDocument/2006/relationships/worksheet" Target="worksheets/sheet5.xml"/><Relationship Id="rId90" Type="http://schemas.openxmlformats.org/officeDocument/2006/relationships/externalLink" Target="externalLinks/externalLink19.xml"/><Relationship Id="rId95"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externalLink" Target="externalLinks/externalLink9.xml"/><Relationship Id="rId85" Type="http://schemas.openxmlformats.org/officeDocument/2006/relationships/externalLink" Target="externalLinks/externalLink1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4.xml"/><Relationship Id="rId83" Type="http://schemas.openxmlformats.org/officeDocument/2006/relationships/externalLink" Target="externalLinks/externalLink12.xml"/><Relationship Id="rId88" Type="http://schemas.openxmlformats.org/officeDocument/2006/relationships/externalLink" Target="externalLinks/externalLink17.xml"/><Relationship Id="rId91" Type="http://schemas.openxmlformats.org/officeDocument/2006/relationships/externalLink" Target="externalLinks/externalLink20.xml"/><Relationship Id="rId9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78" Type="http://schemas.openxmlformats.org/officeDocument/2006/relationships/externalLink" Target="externalLinks/externalLink7.xml"/><Relationship Id="rId81" Type="http://schemas.openxmlformats.org/officeDocument/2006/relationships/externalLink" Target="externalLinks/externalLink10.xml"/><Relationship Id="rId86" Type="http://schemas.openxmlformats.org/officeDocument/2006/relationships/externalLink" Target="externalLinks/externalLink15.xml"/><Relationship Id="rId94" Type="http://schemas.openxmlformats.org/officeDocument/2006/relationships/styles" Target="styles.xml"/><Relationship Id="rId9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5.xml"/><Relationship Id="rId97"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externalLink" Target="externalLinks/externalLink2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externalLink" Target="externalLinks/externalLink16.xml"/><Relationship Id="rId61" Type="http://schemas.openxmlformats.org/officeDocument/2006/relationships/worksheet" Target="worksheets/sheet61.xml"/><Relationship Id="rId82" Type="http://schemas.openxmlformats.org/officeDocument/2006/relationships/externalLink" Target="externalLinks/externalLink1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externalLink" Target="externalLinks/externalLink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93" Type="http://schemas.openxmlformats.org/officeDocument/2006/relationships/theme" Target="theme/theme1.xml"/><Relationship Id="rId98"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Ben%20Luc.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Can%20Giuoc.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An.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Can%20Duo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Chau%20Thanh.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Vinh%20Hung.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KIen%20Tuong.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Moc%20Ho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Kh%203%20nam/Tan%20An.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Kh%203%20nam/Ben%20Lu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NG%20HANH/Ngan%20sach/bao%20cao%20vuot%20thu/2017/Gui%20BTC/TH%20thu.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Kh%203%20nam/Can%20Giuoc.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ONG%20HANH/Ngan%20sach/phan%20bo%20DT/2018/Trinh%20HDND/Binh%20Minh%20PL%201-%20Bieu%20mau%20xay%20dung%20DT%202018%20-%20theo%20TT%20342%20+%207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hu%20Thu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Tru.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Duc%20Ho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Duc%20Hu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hanh%20Ho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Thanh.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Hu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9">
          <cell r="L9">
            <v>501200</v>
          </cell>
          <cell r="N9">
            <v>563150</v>
          </cell>
        </row>
      </sheetData>
      <sheetData sheetId="2">
        <row r="17">
          <cell r="J17">
            <v>27623</v>
          </cell>
          <cell r="U17">
            <v>33424</v>
          </cell>
          <cell r="Y17">
            <v>36766</v>
          </cell>
        </row>
        <row r="18">
          <cell r="J18">
            <v>71000</v>
          </cell>
        </row>
        <row r="19">
          <cell r="J19">
            <v>5400</v>
          </cell>
        </row>
        <row r="20">
          <cell r="J20">
            <v>0</v>
          </cell>
        </row>
        <row r="24">
          <cell r="J24">
            <v>0</v>
          </cell>
        </row>
        <row r="25">
          <cell r="J25">
            <v>0</v>
          </cell>
        </row>
        <row r="26">
          <cell r="U26">
            <v>418095.12</v>
          </cell>
          <cell r="Y26">
            <v>458179.34222222224</v>
          </cell>
        </row>
        <row r="28">
          <cell r="J28">
            <v>187889.533</v>
          </cell>
          <cell r="U28">
            <v>240173.1698</v>
          </cell>
          <cell r="Y28">
            <v>270785.34177777776</v>
          </cell>
        </row>
        <row r="29">
          <cell r="J29">
            <v>184176.033</v>
          </cell>
        </row>
        <row r="30">
          <cell r="J30">
            <v>3713.5</v>
          </cell>
        </row>
        <row r="31">
          <cell r="J31">
            <v>0</v>
          </cell>
        </row>
        <row r="32">
          <cell r="J32">
            <v>11280.616</v>
          </cell>
        </row>
        <row r="33">
          <cell r="J33">
            <v>8763.616</v>
          </cell>
        </row>
        <row r="34">
          <cell r="J34">
            <v>2517</v>
          </cell>
        </row>
        <row r="35">
          <cell r="J35">
            <v>1144</v>
          </cell>
        </row>
        <row r="36">
          <cell r="J36">
            <v>1869.5</v>
          </cell>
        </row>
        <row r="37">
          <cell r="J37">
            <v>1348.5</v>
          </cell>
        </row>
        <row r="38">
          <cell r="J38">
            <v>1078</v>
          </cell>
        </row>
        <row r="39">
          <cell r="J39">
            <v>16838</v>
          </cell>
          <cell r="U39">
            <v>7916</v>
          </cell>
          <cell r="Y39">
            <v>8706</v>
          </cell>
        </row>
        <row r="40">
          <cell r="J40">
            <v>46317.452227000002</v>
          </cell>
        </row>
        <row r="44">
          <cell r="J44">
            <v>70413.697</v>
          </cell>
        </row>
        <row r="45">
          <cell r="J45">
            <v>26056.92</v>
          </cell>
        </row>
        <row r="46">
          <cell r="J46">
            <v>5558</v>
          </cell>
        </row>
        <row r="49">
          <cell r="U49">
            <v>22094.880000000001</v>
          </cell>
          <cell r="Y49">
            <v>24572.880000000001</v>
          </cell>
        </row>
        <row r="50">
          <cell r="U50">
            <v>38758</v>
          </cell>
          <cell r="Y50">
            <v>52803.777777777774</v>
          </cell>
        </row>
        <row r="54">
          <cell r="J54">
            <v>6384</v>
          </cell>
        </row>
        <row r="55">
          <cell r="J55">
            <v>1535</v>
          </cell>
        </row>
        <row r="57">
          <cell r="J57">
            <v>0</v>
          </cell>
        </row>
        <row r="58">
          <cell r="J58">
            <v>57.309941999999999</v>
          </cell>
        </row>
        <row r="69">
          <cell r="J69">
            <v>55495</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L9">
            <v>306400</v>
          </cell>
          <cell r="N9">
            <v>345800</v>
          </cell>
        </row>
      </sheetData>
      <sheetData sheetId="2">
        <row r="17">
          <cell r="J17">
            <v>17133</v>
          </cell>
          <cell r="U17">
            <v>20731</v>
          </cell>
          <cell r="Y17">
            <v>22804</v>
          </cell>
        </row>
        <row r="18">
          <cell r="J18">
            <v>72404.5</v>
          </cell>
        </row>
        <row r="19">
          <cell r="J19">
            <v>7430</v>
          </cell>
        </row>
        <row r="20">
          <cell r="J20">
            <v>0</v>
          </cell>
        </row>
        <row r="24">
          <cell r="J24">
            <v>0</v>
          </cell>
        </row>
        <row r="26">
          <cell r="U26">
            <v>436274</v>
          </cell>
          <cell r="Y26">
            <v>474126.44444444444</v>
          </cell>
        </row>
        <row r="28">
          <cell r="J28">
            <v>202819.55499999999</v>
          </cell>
          <cell r="U28">
            <v>238588.68479999999</v>
          </cell>
          <cell r="Y28">
            <v>262177.29955555551</v>
          </cell>
        </row>
        <row r="29">
          <cell r="J29">
            <v>198604.55499999999</v>
          </cell>
        </row>
        <row r="30">
          <cell r="J30">
            <v>4215</v>
          </cell>
        </row>
        <row r="31">
          <cell r="J31">
            <v>0</v>
          </cell>
        </row>
        <row r="32">
          <cell r="J32">
            <v>11678.812</v>
          </cell>
        </row>
        <row r="33">
          <cell r="J33">
            <v>8589.3119999999999</v>
          </cell>
        </row>
        <row r="34">
          <cell r="J34">
            <v>3089.5</v>
          </cell>
        </row>
        <row r="35">
          <cell r="J35">
            <v>1315.5</v>
          </cell>
        </row>
        <row r="36">
          <cell r="J36">
            <v>2133.5</v>
          </cell>
        </row>
        <row r="37">
          <cell r="J37">
            <v>1570</v>
          </cell>
        </row>
        <row r="38">
          <cell r="J38">
            <v>1202</v>
          </cell>
        </row>
        <row r="39">
          <cell r="J39">
            <v>5703</v>
          </cell>
          <cell r="U39">
            <v>6333</v>
          </cell>
          <cell r="Y39">
            <v>7313</v>
          </cell>
        </row>
        <row r="40">
          <cell r="J40">
            <v>41993.113799999999</v>
          </cell>
        </row>
        <row r="44">
          <cell r="J44">
            <v>73480.5</v>
          </cell>
        </row>
        <row r="45">
          <cell r="J45">
            <v>37667.46</v>
          </cell>
        </row>
        <row r="46">
          <cell r="J46">
            <v>5623</v>
          </cell>
        </row>
        <row r="49">
          <cell r="U49">
            <v>21169</v>
          </cell>
          <cell r="Y49">
            <v>22745</v>
          </cell>
        </row>
        <row r="50">
          <cell r="U50">
            <v>11051.000000000004</v>
          </cell>
          <cell r="Y50">
            <v>3949.5555555555657</v>
          </cell>
        </row>
        <row r="54">
          <cell r="J54">
            <v>8610</v>
          </cell>
        </row>
        <row r="55">
          <cell r="J55">
            <v>1665</v>
          </cell>
        </row>
        <row r="57">
          <cell r="J57">
            <v>0</v>
          </cell>
        </row>
        <row r="58">
          <cell r="J58">
            <v>420.30993999999998</v>
          </cell>
        </row>
        <row r="69">
          <cell r="J69">
            <v>79951.282000000007</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9">
          <cell r="L9">
            <v>498750</v>
          </cell>
          <cell r="N9">
            <v>565400</v>
          </cell>
        </row>
      </sheetData>
      <sheetData sheetId="2">
        <row r="17">
          <cell r="J17">
            <v>32052</v>
          </cell>
          <cell r="U17">
            <v>38783</v>
          </cell>
          <cell r="Y17">
            <v>42661</v>
          </cell>
        </row>
        <row r="18">
          <cell r="J18">
            <v>56000</v>
          </cell>
        </row>
        <row r="19">
          <cell r="J19">
            <v>2630</v>
          </cell>
        </row>
        <row r="20">
          <cell r="J20">
            <v>0</v>
          </cell>
        </row>
        <row r="23">
          <cell r="U23">
            <v>5000</v>
          </cell>
          <cell r="Y23">
            <v>5000</v>
          </cell>
        </row>
        <row r="26">
          <cell r="U26">
            <v>397434.08</v>
          </cell>
          <cell r="Y26">
            <v>442221.85777777777</v>
          </cell>
        </row>
        <row r="28">
          <cell r="U28">
            <v>221544.22080000001</v>
          </cell>
          <cell r="Y28">
            <v>257180.15622222223</v>
          </cell>
        </row>
        <row r="29">
          <cell r="J29">
            <v>185616.5</v>
          </cell>
        </row>
        <row r="30">
          <cell r="J30">
            <v>3315.5</v>
          </cell>
        </row>
        <row r="31">
          <cell r="J31">
            <v>0</v>
          </cell>
        </row>
        <row r="32">
          <cell r="J32">
            <v>9385.8220000000001</v>
          </cell>
        </row>
        <row r="33">
          <cell r="J33">
            <v>6981.3220000000001</v>
          </cell>
        </row>
        <row r="34">
          <cell r="J34">
            <v>2404.5</v>
          </cell>
        </row>
        <row r="35">
          <cell r="J35">
            <v>1039.5</v>
          </cell>
        </row>
        <row r="36">
          <cell r="J36">
            <v>1550</v>
          </cell>
        </row>
        <row r="37">
          <cell r="J37">
            <v>1185.5</v>
          </cell>
        </row>
        <row r="38">
          <cell r="J38">
            <v>959.5</v>
          </cell>
        </row>
        <row r="39">
          <cell r="J39">
            <v>28769</v>
          </cell>
          <cell r="U39">
            <v>14457.45</v>
          </cell>
          <cell r="Y39">
            <v>15145.900000000001</v>
          </cell>
        </row>
        <row r="40">
          <cell r="J40">
            <v>41191</v>
          </cell>
        </row>
        <row r="44">
          <cell r="J44">
            <v>63548.5</v>
          </cell>
        </row>
        <row r="45">
          <cell r="J45">
            <v>23192.498</v>
          </cell>
        </row>
        <row r="46">
          <cell r="J46">
            <v>5438</v>
          </cell>
        </row>
        <row r="49">
          <cell r="U49">
            <v>20549.920000000002</v>
          </cell>
          <cell r="Y49">
            <v>23215.920000000002</v>
          </cell>
        </row>
        <row r="50">
          <cell r="U50">
            <v>21981</v>
          </cell>
          <cell r="Y50">
            <v>35299.222222222219</v>
          </cell>
        </row>
        <row r="54">
          <cell r="J54">
            <v>2226</v>
          </cell>
        </row>
        <row r="55">
          <cell r="J55">
            <v>805</v>
          </cell>
        </row>
        <row r="57">
          <cell r="J57">
            <v>0</v>
          </cell>
        </row>
        <row r="58">
          <cell r="J58">
            <v>45.847952999999997</v>
          </cell>
        </row>
        <row r="69">
          <cell r="J69">
            <v>35857.322</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237</v>
          </cell>
        </row>
      </sheetData>
      <sheetData sheetId="1">
        <row r="9">
          <cell r="L9">
            <v>237500</v>
          </cell>
          <cell r="N9">
            <v>265650</v>
          </cell>
        </row>
      </sheetData>
      <sheetData sheetId="2">
        <row r="17">
          <cell r="J17">
            <v>18532</v>
          </cell>
          <cell r="U17">
            <v>22424</v>
          </cell>
          <cell r="Y17">
            <v>24666</v>
          </cell>
        </row>
        <row r="18">
          <cell r="J18">
            <v>56000</v>
          </cell>
        </row>
        <row r="19">
          <cell r="J19">
            <v>7130</v>
          </cell>
        </row>
        <row r="20">
          <cell r="J20">
            <v>10839.3933</v>
          </cell>
        </row>
        <row r="26">
          <cell r="U26">
            <v>436739.24</v>
          </cell>
          <cell r="Y26">
            <v>467473.35111111117</v>
          </cell>
        </row>
        <row r="28">
          <cell r="U28">
            <v>237690.3738</v>
          </cell>
          <cell r="Y28">
            <v>261219.64844444444</v>
          </cell>
        </row>
        <row r="29">
          <cell r="J29">
            <v>203033.45</v>
          </cell>
        </row>
        <row r="30">
          <cell r="J30">
            <v>4212</v>
          </cell>
        </row>
        <row r="31">
          <cell r="J31">
            <v>0</v>
          </cell>
        </row>
        <row r="32">
          <cell r="J32">
            <v>12418.482</v>
          </cell>
        </row>
        <row r="33">
          <cell r="J33">
            <v>9546.482</v>
          </cell>
        </row>
        <row r="34">
          <cell r="J34">
            <v>2872</v>
          </cell>
        </row>
        <row r="35">
          <cell r="J35">
            <v>2157.5</v>
          </cell>
        </row>
        <row r="36">
          <cell r="J36">
            <v>2003.5</v>
          </cell>
        </row>
        <row r="37">
          <cell r="J37">
            <v>1523</v>
          </cell>
        </row>
        <row r="38">
          <cell r="J38">
            <v>1216</v>
          </cell>
        </row>
        <row r="39">
          <cell r="J39">
            <v>5703</v>
          </cell>
          <cell r="U39">
            <v>5703</v>
          </cell>
          <cell r="Y39">
            <v>5703</v>
          </cell>
        </row>
        <row r="40">
          <cell r="J40">
            <v>49579.982785</v>
          </cell>
        </row>
        <row r="44">
          <cell r="J44">
            <v>76392</v>
          </cell>
        </row>
        <row r="45">
          <cell r="J45">
            <v>50202.127999999997</v>
          </cell>
        </row>
        <row r="46">
          <cell r="J46">
            <v>4533.6666666666661</v>
          </cell>
        </row>
        <row r="49">
          <cell r="U49">
            <v>20921.760000000002</v>
          </cell>
          <cell r="Y49">
            <v>22047.760000000002</v>
          </cell>
        </row>
        <row r="50">
          <cell r="U50">
            <v>-5041</v>
          </cell>
          <cell r="Y50">
            <v>-12993.111111111113</v>
          </cell>
        </row>
        <row r="54">
          <cell r="J54">
            <v>7728</v>
          </cell>
        </row>
        <row r="55">
          <cell r="J55">
            <v>1695</v>
          </cell>
        </row>
        <row r="57">
          <cell r="J57">
            <v>0</v>
          </cell>
        </row>
        <row r="58">
          <cell r="J58">
            <v>50.432749000000001</v>
          </cell>
        </row>
        <row r="69">
          <cell r="J69">
            <v>47960.982000000004</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10519</v>
          </cell>
        </row>
      </sheetData>
      <sheetData sheetId="1">
        <row r="9">
          <cell r="L9">
            <v>80800</v>
          </cell>
          <cell r="N9">
            <v>91300</v>
          </cell>
        </row>
      </sheetData>
      <sheetData sheetId="2">
        <row r="17">
          <cell r="J17">
            <v>10606</v>
          </cell>
          <cell r="U17">
            <v>11805</v>
          </cell>
          <cell r="Y17">
            <v>12395</v>
          </cell>
        </row>
        <row r="18">
          <cell r="J18">
            <v>10500</v>
          </cell>
        </row>
        <row r="19">
          <cell r="J19">
            <v>6160</v>
          </cell>
        </row>
        <row r="20">
          <cell r="J20">
            <v>0</v>
          </cell>
        </row>
        <row r="26">
          <cell r="U26">
            <v>326158.92</v>
          </cell>
          <cell r="Y26">
            <v>347462.03111111111</v>
          </cell>
        </row>
        <row r="28">
          <cell r="U28">
            <v>189661.26879999999</v>
          </cell>
          <cell r="Y28">
            <v>205312.02844444444</v>
          </cell>
        </row>
        <row r="29">
          <cell r="J29">
            <v>165649.86300000001</v>
          </cell>
        </row>
        <row r="30">
          <cell r="J30">
            <v>2432.5</v>
          </cell>
        </row>
        <row r="31">
          <cell r="J31">
            <v>0</v>
          </cell>
        </row>
        <row r="32">
          <cell r="J32">
            <v>8015.1559999999999</v>
          </cell>
        </row>
        <row r="33">
          <cell r="J33">
            <v>6051.6559999999999</v>
          </cell>
        </row>
        <row r="34">
          <cell r="J34">
            <v>1963.5</v>
          </cell>
        </row>
        <row r="35">
          <cell r="J35">
            <v>552</v>
          </cell>
        </row>
        <row r="36">
          <cell r="J36">
            <v>1492.5</v>
          </cell>
        </row>
        <row r="37">
          <cell r="J37">
            <v>940.5</v>
          </cell>
        </row>
        <row r="38">
          <cell r="J38">
            <v>691</v>
          </cell>
        </row>
        <row r="39">
          <cell r="J39">
            <v>3944</v>
          </cell>
          <cell r="U39">
            <v>3944</v>
          </cell>
          <cell r="Y39">
            <v>3944</v>
          </cell>
        </row>
        <row r="40">
          <cell r="J40">
            <v>24423.5</v>
          </cell>
        </row>
        <row r="44">
          <cell r="J44">
            <v>61989.760423</v>
          </cell>
        </row>
        <row r="45">
          <cell r="J45">
            <v>33508.811000000002</v>
          </cell>
        </row>
        <row r="46">
          <cell r="J46">
            <v>4333</v>
          </cell>
        </row>
        <row r="49">
          <cell r="U49">
            <v>6616.08</v>
          </cell>
          <cell r="Y49">
            <v>6826.08</v>
          </cell>
        </row>
        <row r="50">
          <cell r="U50">
            <v>-20517</v>
          </cell>
          <cell r="Y50">
            <v>-33120.111111111109</v>
          </cell>
        </row>
        <row r="54">
          <cell r="J54">
            <v>5670</v>
          </cell>
        </row>
        <row r="55">
          <cell r="J55">
            <v>1135</v>
          </cell>
        </row>
        <row r="57">
          <cell r="J57">
            <v>0</v>
          </cell>
        </row>
        <row r="58">
          <cell r="J58">
            <v>45.847952999999997</v>
          </cell>
        </row>
        <row r="69">
          <cell r="J69">
            <v>5050</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L9">
            <v>48150</v>
          </cell>
          <cell r="N9">
            <v>53550</v>
          </cell>
        </row>
      </sheetData>
      <sheetData sheetId="2">
        <row r="17">
          <cell r="J17">
            <v>13456</v>
          </cell>
          <cell r="U17">
            <v>15291.9</v>
          </cell>
          <cell r="Y17">
            <v>16571.09</v>
          </cell>
        </row>
        <row r="18">
          <cell r="J18">
            <v>9750</v>
          </cell>
        </row>
        <row r="19">
          <cell r="J19">
            <v>5330</v>
          </cell>
        </row>
        <row r="20">
          <cell r="J20">
            <v>2316.6</v>
          </cell>
        </row>
        <row r="26">
          <cell r="U26">
            <v>258549.09999999998</v>
          </cell>
          <cell r="Y26">
            <v>272161.23888888885</v>
          </cell>
        </row>
        <row r="28">
          <cell r="U28">
            <v>117863.55439999999</v>
          </cell>
          <cell r="Y28">
            <v>126701.75415555555</v>
          </cell>
        </row>
        <row r="29">
          <cell r="J29">
            <v>109026.66666666667</v>
          </cell>
        </row>
        <row r="30">
          <cell r="J30">
            <v>1711</v>
          </cell>
        </row>
        <row r="31">
          <cell r="J31">
            <v>0</v>
          </cell>
        </row>
        <row r="32">
          <cell r="J32">
            <v>10598</v>
          </cell>
        </row>
        <row r="33">
          <cell r="J33">
            <v>7977</v>
          </cell>
        </row>
        <row r="34">
          <cell r="J34">
            <v>2621</v>
          </cell>
        </row>
        <row r="35">
          <cell r="J35">
            <v>710</v>
          </cell>
        </row>
        <row r="36">
          <cell r="J36">
            <v>1502</v>
          </cell>
        </row>
        <row r="37">
          <cell r="J37">
            <v>944.5</v>
          </cell>
        </row>
        <row r="38">
          <cell r="J38">
            <v>495</v>
          </cell>
        </row>
        <row r="39">
          <cell r="J39">
            <v>2605</v>
          </cell>
          <cell r="U39">
            <v>2605</v>
          </cell>
          <cell r="Y39">
            <v>2605</v>
          </cell>
        </row>
        <row r="40">
          <cell r="J40">
            <v>58478</v>
          </cell>
        </row>
        <row r="44">
          <cell r="J44">
            <v>54958.916666666664</v>
          </cell>
        </row>
        <row r="45">
          <cell r="J45">
            <v>6704.5</v>
          </cell>
        </row>
        <row r="46">
          <cell r="J46">
            <v>7115</v>
          </cell>
        </row>
        <row r="49">
          <cell r="U49">
            <v>5618</v>
          </cell>
          <cell r="Y49">
            <v>5685.56</v>
          </cell>
        </row>
        <row r="50">
          <cell r="U50">
            <v>-6581</v>
          </cell>
          <cell r="Y50">
            <v>-16139.888888888889</v>
          </cell>
        </row>
        <row r="54">
          <cell r="J54">
            <v>8820</v>
          </cell>
        </row>
        <row r="55">
          <cell r="J55">
            <v>1175</v>
          </cell>
        </row>
        <row r="57">
          <cell r="J57">
            <v>0</v>
          </cell>
        </row>
        <row r="58">
          <cell r="J58">
            <v>1473</v>
          </cell>
        </row>
        <row r="69">
          <cell r="J69">
            <v>4250</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L9">
            <v>98900</v>
          </cell>
          <cell r="N9">
            <v>113300</v>
          </cell>
        </row>
      </sheetData>
      <sheetData sheetId="2">
        <row r="17">
          <cell r="J17">
            <v>10684</v>
          </cell>
          <cell r="U17">
            <v>12208.5</v>
          </cell>
          <cell r="Y17">
            <v>13279.35</v>
          </cell>
        </row>
        <row r="18">
          <cell r="J18">
            <v>29500</v>
          </cell>
        </row>
        <row r="19">
          <cell r="J19">
            <v>1800</v>
          </cell>
        </row>
        <row r="20">
          <cell r="J20">
            <v>0</v>
          </cell>
        </row>
        <row r="26">
          <cell r="U26">
            <v>224224.1</v>
          </cell>
          <cell r="Y26">
            <v>236931.58333333331</v>
          </cell>
        </row>
        <row r="28">
          <cell r="U28">
            <v>107178.67480000001</v>
          </cell>
          <cell r="Y28">
            <v>116801.97177777778</v>
          </cell>
        </row>
        <row r="29">
          <cell r="J29">
            <v>96507.657999999996</v>
          </cell>
        </row>
        <row r="30">
          <cell r="J30">
            <v>1469.5</v>
          </cell>
        </row>
        <row r="31">
          <cell r="J31">
            <v>0</v>
          </cell>
        </row>
        <row r="32">
          <cell r="J32">
            <v>7788.4840000000004</v>
          </cell>
        </row>
        <row r="33">
          <cell r="J33">
            <v>6158.4840000000004</v>
          </cell>
        </row>
        <row r="34">
          <cell r="J34">
            <v>1630</v>
          </cell>
        </row>
        <row r="35">
          <cell r="J35">
            <v>544</v>
          </cell>
        </row>
        <row r="36">
          <cell r="J36">
            <v>1059</v>
          </cell>
        </row>
        <row r="37">
          <cell r="J37">
            <v>763</v>
          </cell>
        </row>
        <row r="38">
          <cell r="J38">
            <v>445.5</v>
          </cell>
        </row>
        <row r="39">
          <cell r="J39">
            <v>5429</v>
          </cell>
          <cell r="U39">
            <v>5755</v>
          </cell>
          <cell r="Y39">
            <v>5755</v>
          </cell>
        </row>
        <row r="40">
          <cell r="J40">
            <v>43316</v>
          </cell>
        </row>
        <row r="44">
          <cell r="J44">
            <v>43218.599000000002</v>
          </cell>
        </row>
        <row r="45">
          <cell r="J45">
            <v>11809.117</v>
          </cell>
        </row>
        <row r="46">
          <cell r="J46">
            <v>5857</v>
          </cell>
        </row>
        <row r="49">
          <cell r="U49">
            <v>10963.4</v>
          </cell>
          <cell r="Y49">
            <v>11539.4</v>
          </cell>
        </row>
        <row r="50">
          <cell r="U50">
            <v>1689</v>
          </cell>
          <cell r="Y50">
            <v>-3265.3333333333339</v>
          </cell>
        </row>
        <row r="54">
          <cell r="J54">
            <v>4746</v>
          </cell>
        </row>
        <row r="55">
          <cell r="J55">
            <v>875</v>
          </cell>
        </row>
        <row r="57">
          <cell r="J57">
            <v>0</v>
          </cell>
        </row>
        <row r="58">
          <cell r="J58">
            <v>261.60700000000003</v>
          </cell>
        </row>
        <row r="69">
          <cell r="J69">
            <v>30700</v>
          </cell>
        </row>
      </sheetData>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2474</v>
          </cell>
        </row>
      </sheetData>
      <sheetData sheetId="1">
        <row r="9">
          <cell r="L9">
            <v>25000</v>
          </cell>
          <cell r="N9">
            <v>27700</v>
          </cell>
        </row>
      </sheetData>
      <sheetData sheetId="2">
        <row r="17">
          <cell r="J17">
            <v>9881</v>
          </cell>
          <cell r="U17">
            <v>11355.4</v>
          </cell>
          <cell r="Y17">
            <v>12375.939999999999</v>
          </cell>
        </row>
        <row r="18">
          <cell r="J18">
            <v>5000</v>
          </cell>
        </row>
        <row r="19">
          <cell r="J19">
            <v>8090</v>
          </cell>
        </row>
        <row r="20">
          <cell r="J20">
            <v>0</v>
          </cell>
        </row>
        <row r="26">
          <cell r="U26">
            <v>151078.06</v>
          </cell>
          <cell r="Y26">
            <v>157776.85333333336</v>
          </cell>
        </row>
        <row r="28">
          <cell r="U28">
            <v>51678.307800000002</v>
          </cell>
          <cell r="Y28">
            <v>55151.959555555564</v>
          </cell>
        </row>
        <row r="29">
          <cell r="J29">
            <v>49188.054000000004</v>
          </cell>
        </row>
        <row r="30">
          <cell r="J30">
            <v>1066.5</v>
          </cell>
        </row>
        <row r="31">
          <cell r="J31">
            <v>0</v>
          </cell>
        </row>
        <row r="32">
          <cell r="J32">
            <v>5691.66</v>
          </cell>
        </row>
        <row r="33">
          <cell r="J33">
            <v>4386.66</v>
          </cell>
        </row>
        <row r="34">
          <cell r="J34">
            <v>1305</v>
          </cell>
        </row>
        <row r="35">
          <cell r="J35">
            <v>352</v>
          </cell>
        </row>
        <row r="36">
          <cell r="J36">
            <v>775</v>
          </cell>
        </row>
        <row r="37">
          <cell r="J37">
            <v>562.5</v>
          </cell>
        </row>
        <row r="38">
          <cell r="J38">
            <v>370</v>
          </cell>
        </row>
        <row r="39">
          <cell r="J39">
            <v>2605</v>
          </cell>
          <cell r="U39">
            <v>2605</v>
          </cell>
          <cell r="Y39">
            <v>2605</v>
          </cell>
        </row>
        <row r="40">
          <cell r="J40">
            <v>45890</v>
          </cell>
        </row>
        <row r="44">
          <cell r="J44">
            <v>35951</v>
          </cell>
        </row>
        <row r="45">
          <cell r="J45">
            <v>5358</v>
          </cell>
        </row>
        <row r="46">
          <cell r="J46">
            <v>3918</v>
          </cell>
        </row>
        <row r="49">
          <cell r="U49">
            <v>3327.54</v>
          </cell>
          <cell r="Y49">
            <v>3381.54</v>
          </cell>
        </row>
        <row r="50">
          <cell r="U50">
            <v>-6884</v>
          </cell>
          <cell r="Y50">
            <v>-12457.333333333334</v>
          </cell>
        </row>
        <row r="54">
          <cell r="J54">
            <v>5460</v>
          </cell>
        </row>
        <row r="55">
          <cell r="J55">
            <v>905</v>
          </cell>
        </row>
        <row r="57">
          <cell r="J57">
            <v>0</v>
          </cell>
        </row>
        <row r="58">
          <cell r="J58">
            <v>502</v>
          </cell>
        </row>
        <row r="69">
          <cell r="J69">
            <v>1000</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12">
          <cell r="I12">
            <v>0</v>
          </cell>
        </row>
        <row r="17">
          <cell r="I17">
            <v>19550</v>
          </cell>
        </row>
        <row r="22">
          <cell r="I22">
            <v>0</v>
          </cell>
        </row>
        <row r="29">
          <cell r="I29">
            <v>212650</v>
          </cell>
        </row>
        <row r="46">
          <cell r="I46">
            <v>0</v>
          </cell>
        </row>
        <row r="51">
          <cell r="I51">
            <v>0</v>
          </cell>
        </row>
        <row r="57">
          <cell r="I57">
            <v>0</v>
          </cell>
        </row>
        <row r="66">
          <cell r="I66">
            <v>0</v>
          </cell>
        </row>
      </sheetData>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12">
          <cell r="I12">
            <v>0</v>
          </cell>
        </row>
        <row r="17">
          <cell r="I17">
            <v>11300</v>
          </cell>
        </row>
        <row r="22">
          <cell r="I22">
            <v>0</v>
          </cell>
        </row>
        <row r="29">
          <cell r="I29">
            <v>214600</v>
          </cell>
        </row>
        <row r="46">
          <cell r="I46">
            <v>0</v>
          </cell>
        </row>
        <row r="51">
          <cell r="I51">
            <v>0</v>
          </cell>
        </row>
        <row r="57">
          <cell r="I57">
            <v>0</v>
          </cell>
        </row>
        <row r="72">
          <cell r="I72">
            <v>0</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H 2017"/>
      <sheetName val="Sheet2"/>
      <sheetName val="Ttat"/>
      <sheetName val="Theo doi thu "/>
    </sheetNames>
    <sheetDataSet>
      <sheetData sheetId="0">
        <row r="11">
          <cell r="C11">
            <v>7570757</v>
          </cell>
        </row>
        <row r="83">
          <cell r="C83">
            <v>1825832</v>
          </cell>
        </row>
      </sheetData>
      <sheetData sheetId="1"/>
      <sheetData sheetId="2"/>
      <sheetData sheetId="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49">
          <cell r="I49">
            <v>50000</v>
          </cell>
        </row>
      </sheetData>
      <sheetData sheetId="2"/>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PL tong hop"/>
      <sheetName val="01"/>
      <sheetName val="02"/>
      <sheetName val="03"/>
      <sheetName val="04"/>
      <sheetName val="05"/>
      <sheetName val="06"/>
      <sheetName val="07"/>
      <sheetName val="08"/>
      <sheetName val="09"/>
      <sheetName val="11.1"/>
      <sheetName val="12.1"/>
      <sheetName val="12.2"/>
      <sheetName val="12.3"/>
      <sheetName val="12.4"/>
      <sheetName val="12.5"/>
      <sheetName val="13.1"/>
      <sheetName val="13.2"/>
      <sheetName val="13.3"/>
      <sheetName val="13.4"/>
      <sheetName val="13.5"/>
      <sheetName val="13.6"/>
      <sheetName val="13.7"/>
      <sheetName val="13.8"/>
      <sheetName val="13.9"/>
      <sheetName val="13.10"/>
      <sheetName val="13.12"/>
      <sheetName val="14"/>
      <sheetName val="15.1"/>
      <sheetName val="15.2"/>
      <sheetName val="18"/>
      <sheetName val="23"/>
      <sheetName val="24"/>
      <sheetName val="25"/>
      <sheetName val="26"/>
      <sheetName val="27"/>
      <sheetName val="01. TT71"/>
      <sheetName val="03.TT71"/>
      <sheetName val="10"/>
      <sheetName val="Bieu so 24"/>
      <sheetName val="Bieu so 26"/>
      <sheetName val="Bieu so 29"/>
      <sheetName val="32"/>
      <sheetName val="Bieu so 35 "/>
      <sheetName val="35"/>
      <sheetName val="Bieu so 37"/>
      <sheetName val="Bieu so 47"/>
      <sheetName val="Du toan 20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12">
          <cell r="D12">
            <v>33874400</v>
          </cell>
        </row>
        <row r="27">
          <cell r="D27">
            <v>49840000</v>
          </cell>
        </row>
        <row r="30">
          <cell r="D30">
            <v>35850080</v>
          </cell>
        </row>
        <row r="42">
          <cell r="D42">
            <v>937465760</v>
          </cell>
        </row>
        <row r="59">
          <cell r="D59">
            <v>10622080</v>
          </cell>
        </row>
        <row r="70">
          <cell r="D70">
            <v>56000000</v>
          </cell>
        </row>
        <row r="72">
          <cell r="D72">
            <v>896000</v>
          </cell>
        </row>
        <row r="75">
          <cell r="D75">
            <v>50400000</v>
          </cell>
        </row>
        <row r="79">
          <cell r="D79">
            <v>204053920</v>
          </cell>
        </row>
        <row r="98">
          <cell r="D98">
            <v>1792000</v>
          </cell>
        </row>
      </sheetData>
      <sheetData sheetId="4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7117</v>
          </cell>
        </row>
      </sheetData>
      <sheetData sheetId="1">
        <row r="9">
          <cell r="H9">
            <v>81450</v>
          </cell>
          <cell r="L9">
            <v>98550</v>
          </cell>
          <cell r="N9">
            <v>109300</v>
          </cell>
        </row>
      </sheetData>
      <sheetData sheetId="2">
        <row r="17">
          <cell r="J17">
            <v>12005</v>
          </cell>
          <cell r="U17">
            <v>13998.6</v>
          </cell>
          <cell r="Y17">
            <v>15398.460000000001</v>
          </cell>
        </row>
        <row r="18">
          <cell r="J18">
            <v>12750</v>
          </cell>
        </row>
        <row r="19">
          <cell r="J19">
            <v>9390</v>
          </cell>
        </row>
        <row r="20">
          <cell r="J20">
            <v>0</v>
          </cell>
        </row>
        <row r="26">
          <cell r="U26">
            <v>294792.42</v>
          </cell>
          <cell r="Y26">
            <v>313299.89333333337</v>
          </cell>
        </row>
        <row r="28">
          <cell r="U28">
            <v>153312.7714</v>
          </cell>
          <cell r="Y28">
            <v>164964.3408888889</v>
          </cell>
        </row>
        <row r="29">
          <cell r="J29">
            <v>134181.5</v>
          </cell>
        </row>
        <row r="30">
          <cell r="J30">
            <v>2241.5</v>
          </cell>
        </row>
        <row r="31">
          <cell r="J31">
            <v>0</v>
          </cell>
        </row>
        <row r="32">
          <cell r="J32">
            <v>7378</v>
          </cell>
        </row>
        <row r="33">
          <cell r="J33">
            <v>5521.5</v>
          </cell>
        </row>
        <row r="34">
          <cell r="J34">
            <v>1856.5</v>
          </cell>
        </row>
        <row r="35">
          <cell r="J35">
            <v>925.5</v>
          </cell>
        </row>
        <row r="36">
          <cell r="J36">
            <v>1556.5</v>
          </cell>
        </row>
        <row r="37">
          <cell r="J37">
            <v>858.5</v>
          </cell>
        </row>
        <row r="38">
          <cell r="J38">
            <v>698</v>
          </cell>
        </row>
        <row r="39">
          <cell r="J39">
            <v>4155</v>
          </cell>
          <cell r="U39">
            <v>4675</v>
          </cell>
          <cell r="Y39">
            <v>5195</v>
          </cell>
        </row>
        <row r="40">
          <cell r="J40">
            <v>41278</v>
          </cell>
        </row>
        <row r="44">
          <cell r="J44">
            <v>58141</v>
          </cell>
        </row>
        <row r="45">
          <cell r="J45">
            <v>24735.754000000001</v>
          </cell>
        </row>
        <row r="46">
          <cell r="J46">
            <v>4011.5</v>
          </cell>
        </row>
        <row r="49">
          <cell r="U49">
            <v>6265.9800000000005</v>
          </cell>
          <cell r="Y49">
            <v>6480.9800000000005</v>
          </cell>
        </row>
        <row r="50">
          <cell r="U50">
            <v>-13758</v>
          </cell>
          <cell r="Y50">
            <v>-23130.333333333336</v>
          </cell>
        </row>
        <row r="54">
          <cell r="J54">
            <v>5166</v>
          </cell>
        </row>
        <row r="55">
          <cell r="J55">
            <v>1050</v>
          </cell>
        </row>
        <row r="57">
          <cell r="J57">
            <v>0</v>
          </cell>
        </row>
        <row r="58">
          <cell r="J58">
            <v>45.847952999999997</v>
          </cell>
        </row>
        <row r="69">
          <cell r="J69">
            <v>3531</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6481</v>
          </cell>
        </row>
      </sheetData>
      <sheetData sheetId="1">
        <row r="9">
          <cell r="H9">
            <v>37680</v>
          </cell>
          <cell r="L9">
            <v>43200</v>
          </cell>
          <cell r="N9">
            <v>48100</v>
          </cell>
        </row>
      </sheetData>
      <sheetData sheetId="2">
        <row r="17">
          <cell r="J17">
            <v>8741</v>
          </cell>
          <cell r="U17">
            <v>9728</v>
          </cell>
          <cell r="Y17">
            <v>10214</v>
          </cell>
        </row>
        <row r="18">
          <cell r="J18">
            <v>4500</v>
          </cell>
        </row>
        <row r="19">
          <cell r="J19">
            <v>7160</v>
          </cell>
        </row>
        <row r="20">
          <cell r="J20">
            <v>0</v>
          </cell>
        </row>
        <row r="26">
          <cell r="U26">
            <v>237205.08000000002</v>
          </cell>
          <cell r="Y26">
            <v>251486.41333333339</v>
          </cell>
        </row>
        <row r="28">
          <cell r="U28">
            <v>127471.54919999999</v>
          </cell>
          <cell r="Y28">
            <v>137111.45600000001</v>
          </cell>
        </row>
        <row r="29">
          <cell r="J29">
            <v>112575</v>
          </cell>
        </row>
        <row r="30">
          <cell r="J30">
            <v>1845.5</v>
          </cell>
        </row>
        <row r="31">
          <cell r="J31">
            <v>0</v>
          </cell>
        </row>
        <row r="32">
          <cell r="J32">
            <v>5802.4940000000006</v>
          </cell>
        </row>
        <row r="33">
          <cell r="J33">
            <v>4309.9940000000006</v>
          </cell>
        </row>
        <row r="34">
          <cell r="J34">
            <v>1492.5</v>
          </cell>
        </row>
        <row r="35">
          <cell r="J35">
            <v>327</v>
          </cell>
        </row>
        <row r="36">
          <cell r="J36">
            <v>1226</v>
          </cell>
        </row>
        <row r="37">
          <cell r="J37">
            <v>729.5</v>
          </cell>
        </row>
        <row r="38">
          <cell r="J38">
            <v>595</v>
          </cell>
        </row>
        <row r="39">
          <cell r="J39">
            <v>3944</v>
          </cell>
          <cell r="U39">
            <v>3944</v>
          </cell>
          <cell r="Y39">
            <v>3944</v>
          </cell>
        </row>
        <row r="40">
          <cell r="J40">
            <v>22887.5</v>
          </cell>
        </row>
        <row r="44">
          <cell r="J44">
            <v>49402</v>
          </cell>
        </row>
        <row r="45">
          <cell r="J45">
            <v>22638.95</v>
          </cell>
        </row>
        <row r="46">
          <cell r="J46">
            <v>3174</v>
          </cell>
        </row>
        <row r="49">
          <cell r="U49">
            <v>4826.92</v>
          </cell>
          <cell r="Y49">
            <v>4924.92</v>
          </cell>
        </row>
        <row r="50">
          <cell r="U50">
            <v>-14414</v>
          </cell>
          <cell r="Y50">
            <v>-24379.333333333332</v>
          </cell>
        </row>
        <row r="54">
          <cell r="J54">
            <v>4956</v>
          </cell>
        </row>
        <row r="55">
          <cell r="J55">
            <v>1245</v>
          </cell>
        </row>
        <row r="57">
          <cell r="J57">
            <v>0</v>
          </cell>
        </row>
        <row r="58">
          <cell r="J58">
            <v>48.140351000000003</v>
          </cell>
        </row>
        <row r="69">
          <cell r="J69">
            <v>4766.9940000000006</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H9">
            <v>679080</v>
          </cell>
          <cell r="L9">
            <v>534100</v>
          </cell>
          <cell r="N9">
            <v>584200</v>
          </cell>
        </row>
      </sheetData>
      <sheetData sheetId="2">
        <row r="17">
          <cell r="J17">
            <v>31819</v>
          </cell>
          <cell r="U17">
            <v>38501.1</v>
          </cell>
          <cell r="Y17">
            <v>42351.21</v>
          </cell>
        </row>
        <row r="18">
          <cell r="J18">
            <v>180500</v>
          </cell>
        </row>
        <row r="19">
          <cell r="J19">
            <v>7930</v>
          </cell>
        </row>
        <row r="20">
          <cell r="J20">
            <v>0</v>
          </cell>
        </row>
        <row r="26">
          <cell r="U26">
            <v>601506.54</v>
          </cell>
          <cell r="Y26">
            <v>653611.20333333337</v>
          </cell>
        </row>
        <row r="28">
          <cell r="U28">
            <v>339404.1752</v>
          </cell>
          <cell r="Y28">
            <v>377400.83711111115</v>
          </cell>
        </row>
        <row r="29">
          <cell r="J29">
            <v>275963.603</v>
          </cell>
        </row>
        <row r="30">
          <cell r="J30">
            <v>5374.3</v>
          </cell>
        </row>
        <row r="31">
          <cell r="J31">
            <v>0</v>
          </cell>
        </row>
        <row r="32">
          <cell r="J32">
            <v>13919.272000000001</v>
          </cell>
        </row>
        <row r="33">
          <cell r="J33">
            <v>10760.272000000001</v>
          </cell>
        </row>
        <row r="34">
          <cell r="J34">
            <v>3159</v>
          </cell>
        </row>
        <row r="35">
          <cell r="J35">
            <v>1618</v>
          </cell>
        </row>
        <row r="36">
          <cell r="J36">
            <v>2533</v>
          </cell>
        </row>
        <row r="37">
          <cell r="J37">
            <v>1925</v>
          </cell>
        </row>
        <row r="38">
          <cell r="J38">
            <v>1542</v>
          </cell>
        </row>
        <row r="39">
          <cell r="J39">
            <v>6838</v>
          </cell>
          <cell r="U39">
            <v>8274</v>
          </cell>
          <cell r="Y39">
            <v>9026</v>
          </cell>
        </row>
        <row r="40">
          <cell r="J40">
            <v>72117.946549999993</v>
          </cell>
        </row>
        <row r="44">
          <cell r="J44">
            <v>84240.565552999993</v>
          </cell>
        </row>
        <row r="45">
          <cell r="J45">
            <v>53969.202000000005</v>
          </cell>
        </row>
        <row r="46">
          <cell r="J46">
            <v>8115</v>
          </cell>
        </row>
        <row r="49">
          <cell r="U49">
            <v>30633.360000000001</v>
          </cell>
          <cell r="Y49">
            <v>32273.920000000002</v>
          </cell>
        </row>
        <row r="50">
          <cell r="U50">
            <v>34107</v>
          </cell>
          <cell r="Y50">
            <v>37611.666666666672</v>
          </cell>
        </row>
        <row r="54">
          <cell r="J54">
            <v>8022</v>
          </cell>
        </row>
        <row r="55">
          <cell r="J55">
            <v>2025</v>
          </cell>
        </row>
        <row r="57">
          <cell r="J57">
            <v>0</v>
          </cell>
        </row>
        <row r="58">
          <cell r="J58">
            <v>50.432749000000001</v>
          </cell>
        </row>
        <row r="69">
          <cell r="J69">
            <v>176678.44200000001</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1094</v>
          </cell>
        </row>
      </sheetData>
      <sheetData sheetId="1">
        <row r="9">
          <cell r="H9">
            <v>73650</v>
          </cell>
          <cell r="L9">
            <v>65520</v>
          </cell>
          <cell r="N9">
            <v>70870</v>
          </cell>
        </row>
      </sheetData>
      <sheetData sheetId="2">
        <row r="17">
          <cell r="J17">
            <v>16020</v>
          </cell>
          <cell r="U17">
            <v>18514.099999999999</v>
          </cell>
          <cell r="Y17">
            <v>20365.509999999998</v>
          </cell>
        </row>
        <row r="18">
          <cell r="J18">
            <v>19000</v>
          </cell>
        </row>
        <row r="19">
          <cell r="J19">
            <v>9590</v>
          </cell>
        </row>
        <row r="20">
          <cell r="J20">
            <v>2298</v>
          </cell>
        </row>
        <row r="26">
          <cell r="U26">
            <v>273014.09999999998</v>
          </cell>
          <cell r="Y26">
            <v>286325.69</v>
          </cell>
        </row>
        <row r="28">
          <cell r="U28">
            <v>132722.08480000001</v>
          </cell>
          <cell r="Y28">
            <v>141152.10066666667</v>
          </cell>
        </row>
        <row r="29">
          <cell r="J29">
            <v>118644.5</v>
          </cell>
        </row>
        <row r="30">
          <cell r="J30">
            <v>2028.5</v>
          </cell>
        </row>
        <row r="31">
          <cell r="J31">
            <v>0</v>
          </cell>
        </row>
        <row r="32">
          <cell r="J32">
            <v>11080</v>
          </cell>
        </row>
        <row r="33">
          <cell r="J33">
            <v>8451</v>
          </cell>
        </row>
        <row r="34">
          <cell r="J34">
            <v>2629</v>
          </cell>
        </row>
        <row r="35">
          <cell r="J35">
            <v>1020.5</v>
          </cell>
        </row>
        <row r="36">
          <cell r="J36">
            <v>1230</v>
          </cell>
        </row>
        <row r="37">
          <cell r="J37">
            <v>1025.5</v>
          </cell>
        </row>
        <row r="38">
          <cell r="J38">
            <v>592</v>
          </cell>
        </row>
        <row r="39">
          <cell r="J39">
            <v>2605</v>
          </cell>
          <cell r="U39">
            <v>2605</v>
          </cell>
          <cell r="Y39">
            <v>2605</v>
          </cell>
        </row>
        <row r="40">
          <cell r="J40">
            <v>47580</v>
          </cell>
        </row>
        <row r="44">
          <cell r="J44">
            <v>55308.5</v>
          </cell>
        </row>
        <row r="45">
          <cell r="J45">
            <v>16957.808000000001</v>
          </cell>
        </row>
        <row r="46">
          <cell r="J46">
            <v>8166</v>
          </cell>
        </row>
        <row r="49">
          <cell r="U49">
            <v>6065.8</v>
          </cell>
          <cell r="Y49">
            <v>6172.8</v>
          </cell>
        </row>
        <row r="50">
          <cell r="U50">
            <v>-8304</v>
          </cell>
          <cell r="Y50">
            <v>-18224</v>
          </cell>
        </row>
        <row r="54">
          <cell r="J54">
            <v>10878</v>
          </cell>
        </row>
        <row r="55">
          <cell r="J55">
            <v>1545</v>
          </cell>
        </row>
        <row r="57">
          <cell r="J57">
            <v>0</v>
          </cell>
        </row>
        <row r="58">
          <cell r="J58">
            <v>2749</v>
          </cell>
        </row>
        <row r="69">
          <cell r="J69">
            <v>15143</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2983</v>
          </cell>
        </row>
      </sheetData>
      <sheetData sheetId="1">
        <row r="9">
          <cell r="H9">
            <v>57050</v>
          </cell>
          <cell r="L9">
            <v>60300</v>
          </cell>
          <cell r="N9">
            <v>67550</v>
          </cell>
        </row>
      </sheetData>
      <sheetData sheetId="2">
        <row r="17">
          <cell r="J17">
            <v>12329</v>
          </cell>
          <cell r="U17">
            <v>14209.9</v>
          </cell>
          <cell r="Y17">
            <v>15530.89</v>
          </cell>
        </row>
        <row r="18">
          <cell r="J18">
            <v>14000</v>
          </cell>
        </row>
        <row r="19">
          <cell r="J19">
            <v>7770</v>
          </cell>
        </row>
        <row r="20">
          <cell r="J20">
            <v>0</v>
          </cell>
        </row>
        <row r="26">
          <cell r="U26">
            <v>250875.92</v>
          </cell>
          <cell r="Y26">
            <v>264170.48555555556</v>
          </cell>
        </row>
        <row r="28">
          <cell r="U28">
            <v>125234.96980000001</v>
          </cell>
          <cell r="Y28">
            <v>134650.26288888889</v>
          </cell>
        </row>
        <row r="29">
          <cell r="J29">
            <v>108572</v>
          </cell>
        </row>
        <row r="30">
          <cell r="J30">
            <v>1844</v>
          </cell>
        </row>
        <row r="31">
          <cell r="J31">
            <v>0</v>
          </cell>
        </row>
        <row r="32">
          <cell r="J32">
            <v>8099.5</v>
          </cell>
        </row>
        <row r="33">
          <cell r="J33">
            <v>5986</v>
          </cell>
        </row>
        <row r="34">
          <cell r="J34">
            <v>2113.5</v>
          </cell>
        </row>
        <row r="35">
          <cell r="J35">
            <v>2295</v>
          </cell>
        </row>
        <row r="36">
          <cell r="J36">
            <v>1285</v>
          </cell>
        </row>
        <row r="37">
          <cell r="J37">
            <v>932</v>
          </cell>
        </row>
        <row r="38">
          <cell r="J38">
            <v>611</v>
          </cell>
        </row>
        <row r="39">
          <cell r="J39">
            <v>3210</v>
          </cell>
          <cell r="U39">
            <v>3210</v>
          </cell>
          <cell r="Y39">
            <v>3210</v>
          </cell>
        </row>
        <row r="40">
          <cell r="J40">
            <v>46542</v>
          </cell>
        </row>
        <row r="44">
          <cell r="J44">
            <v>52374.5</v>
          </cell>
        </row>
        <row r="45">
          <cell r="J45">
            <v>12458</v>
          </cell>
        </row>
        <row r="46">
          <cell r="J46">
            <v>5285</v>
          </cell>
        </row>
        <row r="49">
          <cell r="U49">
            <v>5476.18</v>
          </cell>
          <cell r="Y49">
            <v>5621.18</v>
          </cell>
        </row>
        <row r="50">
          <cell r="U50">
            <v>-9753</v>
          </cell>
          <cell r="Y50">
            <v>-18263.555555555555</v>
          </cell>
        </row>
        <row r="54">
          <cell r="J54">
            <v>6720</v>
          </cell>
        </row>
        <row r="55">
          <cell r="J55">
            <v>1525</v>
          </cell>
        </row>
        <row r="57">
          <cell r="J57">
            <v>0</v>
          </cell>
        </row>
        <row r="58">
          <cell r="J58">
            <v>482</v>
          </cell>
        </row>
        <row r="69">
          <cell r="J69">
            <v>6000</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10352</v>
          </cell>
        </row>
      </sheetData>
      <sheetData sheetId="1">
        <row r="9">
          <cell r="H9">
            <v>55000</v>
          </cell>
          <cell r="L9">
            <v>56850</v>
          </cell>
          <cell r="N9">
            <v>65200</v>
          </cell>
        </row>
      </sheetData>
      <sheetData sheetId="2">
        <row r="17">
          <cell r="J17">
            <v>12005</v>
          </cell>
          <cell r="U17">
            <v>13866.6</v>
          </cell>
          <cell r="Y17">
            <v>15253.26</v>
          </cell>
        </row>
        <row r="18">
          <cell r="J18">
            <v>10250</v>
          </cell>
        </row>
        <row r="19">
          <cell r="J19">
            <v>7860</v>
          </cell>
        </row>
        <row r="20">
          <cell r="J20">
            <v>0</v>
          </cell>
        </row>
        <row r="26">
          <cell r="U26">
            <v>291331.98</v>
          </cell>
          <cell r="Y26">
            <v>307164.20888888894</v>
          </cell>
        </row>
        <row r="28">
          <cell r="U28">
            <v>140292.1856</v>
          </cell>
          <cell r="Y28">
            <v>150873.99911111113</v>
          </cell>
        </row>
        <row r="29">
          <cell r="J29">
            <v>124428</v>
          </cell>
        </row>
        <row r="30">
          <cell r="J30">
            <v>2372.5</v>
          </cell>
        </row>
        <row r="31">
          <cell r="J31">
            <v>0</v>
          </cell>
        </row>
        <row r="32">
          <cell r="J32">
            <v>7801.5</v>
          </cell>
        </row>
        <row r="33">
          <cell r="J33">
            <v>5950</v>
          </cell>
        </row>
        <row r="34">
          <cell r="J34">
            <v>1851.5</v>
          </cell>
        </row>
        <row r="35">
          <cell r="J35">
            <v>930</v>
          </cell>
        </row>
        <row r="36">
          <cell r="J36">
            <v>1500.5</v>
          </cell>
        </row>
        <row r="37">
          <cell r="J37">
            <v>1199.5</v>
          </cell>
        </row>
        <row r="38">
          <cell r="J38">
            <v>693</v>
          </cell>
        </row>
        <row r="39">
          <cell r="J39">
            <v>2605</v>
          </cell>
          <cell r="U39">
            <v>2605</v>
          </cell>
          <cell r="Y39">
            <v>2605</v>
          </cell>
        </row>
        <row r="40">
          <cell r="J40">
            <v>61939</v>
          </cell>
        </row>
        <row r="44">
          <cell r="J44">
            <v>60973.5</v>
          </cell>
        </row>
        <row r="45">
          <cell r="J45">
            <v>14311.5</v>
          </cell>
        </row>
        <row r="46">
          <cell r="J46">
            <v>3095.333333333333</v>
          </cell>
        </row>
        <row r="49">
          <cell r="U49">
            <v>5967.42</v>
          </cell>
          <cell r="Y49">
            <v>6134.42</v>
          </cell>
        </row>
        <row r="50">
          <cell r="U50">
            <v>-18295</v>
          </cell>
          <cell r="Y50">
            <v>-28330.888888888891</v>
          </cell>
        </row>
        <row r="54">
          <cell r="J54">
            <v>5166</v>
          </cell>
        </row>
        <row r="55">
          <cell r="J55">
            <v>1545</v>
          </cell>
        </row>
        <row r="57">
          <cell r="J57">
            <v>0</v>
          </cell>
        </row>
        <row r="58">
          <cell r="J58">
            <v>60</v>
          </cell>
        </row>
        <row r="69">
          <cell r="J69">
            <v>4750</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H9">
            <v>46460</v>
          </cell>
          <cell r="L9">
            <v>54600</v>
          </cell>
          <cell r="N9">
            <v>60050</v>
          </cell>
        </row>
      </sheetData>
      <sheetData sheetId="2">
        <row r="17">
          <cell r="J17">
            <v>12899</v>
          </cell>
          <cell r="U17">
            <v>14790.2</v>
          </cell>
          <cell r="Y17">
            <v>16119.220000000001</v>
          </cell>
        </row>
        <row r="18">
          <cell r="J18">
            <v>11000</v>
          </cell>
        </row>
        <row r="19">
          <cell r="J19">
            <v>6330</v>
          </cell>
        </row>
        <row r="20">
          <cell r="J20">
            <v>0</v>
          </cell>
        </row>
        <row r="26">
          <cell r="U26">
            <v>241066.02000000002</v>
          </cell>
          <cell r="Y26">
            <v>251744.44444444444</v>
          </cell>
        </row>
        <row r="28">
          <cell r="U28">
            <v>93753.069799999997</v>
          </cell>
          <cell r="Y28">
            <v>100229.55511111111</v>
          </cell>
        </row>
        <row r="29">
          <cell r="J29">
            <v>82906</v>
          </cell>
        </row>
        <row r="30">
          <cell r="J30">
            <v>1643.5</v>
          </cell>
        </row>
        <row r="31">
          <cell r="J31">
            <v>0</v>
          </cell>
        </row>
        <row r="32">
          <cell r="J32">
            <v>9409.6539999999986</v>
          </cell>
        </row>
        <row r="33">
          <cell r="J33">
            <v>7119.6539999999995</v>
          </cell>
        </row>
        <row r="34">
          <cell r="J34">
            <v>2290</v>
          </cell>
        </row>
        <row r="35">
          <cell r="J35">
            <v>903</v>
          </cell>
        </row>
        <row r="36">
          <cell r="J36">
            <v>1048</v>
          </cell>
        </row>
        <row r="37">
          <cell r="J37">
            <v>835.5</v>
          </cell>
        </row>
        <row r="38">
          <cell r="J38">
            <v>698.5</v>
          </cell>
        </row>
        <row r="39">
          <cell r="J39">
            <v>2605</v>
          </cell>
          <cell r="U39">
            <v>2605</v>
          </cell>
          <cell r="Y39">
            <v>2605</v>
          </cell>
        </row>
        <row r="40">
          <cell r="J40">
            <v>69333.063999999998</v>
          </cell>
        </row>
        <row r="44">
          <cell r="J44">
            <v>57317.995333999999</v>
          </cell>
        </row>
        <row r="45">
          <cell r="J45">
            <v>7130.3600000000006</v>
          </cell>
        </row>
        <row r="46">
          <cell r="J46">
            <v>6091.5</v>
          </cell>
        </row>
        <row r="49">
          <cell r="U49">
            <v>5443.78</v>
          </cell>
          <cell r="Y49">
            <v>5552.78</v>
          </cell>
        </row>
        <row r="50">
          <cell r="U50">
            <v>-5111</v>
          </cell>
          <cell r="Y50">
            <v>-12777.444444444445</v>
          </cell>
        </row>
        <row r="54">
          <cell r="J54">
            <v>8448</v>
          </cell>
        </row>
        <row r="55">
          <cell r="J55">
            <v>1165</v>
          </cell>
        </row>
        <row r="57">
          <cell r="J57">
            <v>0</v>
          </cell>
        </row>
        <row r="58">
          <cell r="J58">
            <v>904.062544</v>
          </cell>
        </row>
        <row r="69">
          <cell r="J69">
            <v>5493.1540000000005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81.bin"/><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90.bin"/><Relationship Id="rId2" Type="http://schemas.openxmlformats.org/officeDocument/2006/relationships/printerSettings" Target="../printerSettings/printerSettings89.bin"/><Relationship Id="rId1" Type="http://schemas.openxmlformats.org/officeDocument/2006/relationships/printerSettings" Target="../printerSettings/printerSettings8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94.bin"/><Relationship Id="rId2" Type="http://schemas.openxmlformats.org/officeDocument/2006/relationships/printerSettings" Target="../printerSettings/printerSettings93.bin"/><Relationship Id="rId1" Type="http://schemas.openxmlformats.org/officeDocument/2006/relationships/printerSettings" Target="../printerSettings/printerSettings92.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00.bin"/><Relationship Id="rId2" Type="http://schemas.openxmlformats.org/officeDocument/2006/relationships/printerSettings" Target="../printerSettings/printerSettings99.bin"/><Relationship Id="rId1" Type="http://schemas.openxmlformats.org/officeDocument/2006/relationships/printerSettings" Target="../printerSettings/printerSettings98.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108.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3" Type="http://schemas.openxmlformats.org/officeDocument/2006/relationships/printerSettings" Target="../printerSettings/printerSettings111.bin"/><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71.xml.rels><?xml version="1.0" encoding="UTF-8" standalone="yes"?>
<Relationships xmlns="http://schemas.openxmlformats.org/package/2006/relationships"><Relationship Id="rId3" Type="http://schemas.openxmlformats.org/officeDocument/2006/relationships/printerSettings" Target="../printerSettings/printerSettings114.bin"/><Relationship Id="rId2" Type="http://schemas.openxmlformats.org/officeDocument/2006/relationships/printerSettings" Target="../printerSettings/printerSettings113.bin"/><Relationship Id="rId1" Type="http://schemas.openxmlformats.org/officeDocument/2006/relationships/printerSettings" Target="../printerSettings/printerSettings11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sheetPr>
    <tabColor theme="6" tint="-0.249977111117893"/>
  </sheetPr>
  <dimension ref="A1:K33"/>
  <sheetViews>
    <sheetView workbookViewId="0">
      <selection sqref="A1:K1"/>
    </sheetView>
  </sheetViews>
  <sheetFormatPr defaultColWidth="9.140625" defaultRowHeight="15"/>
  <cols>
    <col min="1" max="1" width="5.85546875" style="1" customWidth="1"/>
    <col min="2" max="2" width="29.42578125" style="1" customWidth="1"/>
    <col min="3" max="16384" width="9.140625" style="1"/>
  </cols>
  <sheetData>
    <row r="1" spans="1:11" ht="15" customHeight="1">
      <c r="A1" s="700" t="s">
        <v>0</v>
      </c>
      <c r="B1" s="700"/>
      <c r="C1" s="700"/>
      <c r="D1" s="700"/>
      <c r="E1" s="700"/>
      <c r="F1" s="700"/>
      <c r="G1" s="700"/>
      <c r="H1" s="700"/>
      <c r="I1" s="700"/>
      <c r="J1" s="700"/>
      <c r="K1" s="700"/>
    </row>
    <row r="2" spans="1:11" ht="18.75">
      <c r="A2" s="701" t="s">
        <v>1</v>
      </c>
      <c r="B2" s="702"/>
      <c r="C2" s="702"/>
      <c r="D2" s="702"/>
      <c r="E2" s="702"/>
      <c r="F2" s="702"/>
      <c r="G2" s="702"/>
      <c r="H2" s="702"/>
      <c r="I2" s="702"/>
      <c r="J2" s="702"/>
      <c r="K2" s="702"/>
    </row>
    <row r="3" spans="1:11" ht="23.25" customHeight="1">
      <c r="A3" s="703" t="s">
        <v>2</v>
      </c>
      <c r="B3" s="704"/>
      <c r="C3" s="704"/>
      <c r="D3" s="704"/>
      <c r="E3" s="704"/>
      <c r="F3" s="704"/>
      <c r="G3" s="704"/>
      <c r="H3" s="704"/>
      <c r="I3" s="704"/>
      <c r="J3" s="704"/>
      <c r="K3" s="704"/>
    </row>
    <row r="4" spans="1:11">
      <c r="A4" s="705" t="s">
        <v>3</v>
      </c>
      <c r="B4" s="705" t="s">
        <v>4</v>
      </c>
      <c r="C4" s="705" t="s">
        <v>5</v>
      </c>
      <c r="D4" s="705" t="s">
        <v>6</v>
      </c>
      <c r="E4" s="705" t="s">
        <v>7</v>
      </c>
      <c r="F4" s="705"/>
      <c r="G4" s="705"/>
      <c r="H4" s="705"/>
      <c r="I4" s="705"/>
      <c r="J4" s="705"/>
      <c r="K4" s="705" t="s">
        <v>8</v>
      </c>
    </row>
    <row r="5" spans="1:11" ht="42.75">
      <c r="A5" s="705"/>
      <c r="B5" s="705"/>
      <c r="C5" s="705"/>
      <c r="D5" s="705"/>
      <c r="E5" s="2" t="s">
        <v>9</v>
      </c>
      <c r="F5" s="2" t="s">
        <v>10</v>
      </c>
      <c r="G5" s="2" t="s">
        <v>11</v>
      </c>
      <c r="H5" s="2" t="s">
        <v>12</v>
      </c>
      <c r="I5" s="2" t="s">
        <v>13</v>
      </c>
      <c r="J5" s="2" t="s">
        <v>14</v>
      </c>
      <c r="K5" s="705"/>
    </row>
    <row r="6" spans="1:11">
      <c r="A6" s="2" t="s">
        <v>15</v>
      </c>
      <c r="B6" s="2" t="s">
        <v>16</v>
      </c>
      <c r="C6" s="2">
        <v>1</v>
      </c>
      <c r="D6" s="2">
        <v>2</v>
      </c>
      <c r="E6" s="2">
        <v>3</v>
      </c>
      <c r="F6" s="2">
        <v>4</v>
      </c>
      <c r="G6" s="2">
        <v>5</v>
      </c>
      <c r="H6" s="2">
        <v>6</v>
      </c>
      <c r="I6" s="2">
        <v>7</v>
      </c>
      <c r="J6" s="2">
        <v>8</v>
      </c>
      <c r="K6" s="2">
        <v>9</v>
      </c>
    </row>
    <row r="7" spans="1:11" ht="30">
      <c r="A7" s="3">
        <v>1</v>
      </c>
      <c r="B7" s="4" t="s">
        <v>17</v>
      </c>
      <c r="C7" s="3" t="s">
        <v>18</v>
      </c>
      <c r="D7" s="3"/>
      <c r="E7" s="3"/>
      <c r="F7" s="3"/>
      <c r="G7" s="3"/>
      <c r="H7" s="3"/>
      <c r="I7" s="3"/>
      <c r="J7" s="3"/>
      <c r="K7" s="3"/>
    </row>
    <row r="8" spans="1:11">
      <c r="A8" s="3">
        <v>2</v>
      </c>
      <c r="B8" s="4" t="s">
        <v>19</v>
      </c>
      <c r="C8" s="3" t="s">
        <v>20</v>
      </c>
      <c r="D8" s="3"/>
      <c r="E8" s="3"/>
      <c r="F8" s="3"/>
      <c r="G8" s="3"/>
      <c r="H8" s="3"/>
      <c r="I8" s="3"/>
      <c r="J8" s="3"/>
      <c r="K8" s="3"/>
    </row>
    <row r="9" spans="1:11">
      <c r="A9" s="3">
        <v>3</v>
      </c>
      <c r="B9" s="4" t="s">
        <v>21</v>
      </c>
      <c r="C9" s="3"/>
      <c r="D9" s="3"/>
      <c r="E9" s="3"/>
      <c r="F9" s="3"/>
      <c r="G9" s="3"/>
      <c r="H9" s="3"/>
      <c r="I9" s="3"/>
      <c r="J9" s="3"/>
      <c r="K9" s="3"/>
    </row>
    <row r="10" spans="1:11">
      <c r="A10" s="3" t="s">
        <v>22</v>
      </c>
      <c r="B10" s="5" t="s">
        <v>23</v>
      </c>
      <c r="C10" s="3" t="s">
        <v>20</v>
      </c>
      <c r="D10" s="3"/>
      <c r="E10" s="3"/>
      <c r="F10" s="3"/>
      <c r="G10" s="3"/>
      <c r="H10" s="3"/>
      <c r="I10" s="3"/>
      <c r="J10" s="3"/>
      <c r="K10" s="3"/>
    </row>
    <row r="11" spans="1:11">
      <c r="A11" s="3" t="s">
        <v>22</v>
      </c>
      <c r="B11" s="5" t="s">
        <v>24</v>
      </c>
      <c r="C11" s="3" t="s">
        <v>20</v>
      </c>
      <c r="D11" s="3"/>
      <c r="E11" s="3"/>
      <c r="F11" s="3"/>
      <c r="G11" s="3"/>
      <c r="H11" s="3"/>
      <c r="I11" s="3"/>
      <c r="J11" s="3"/>
      <c r="K11" s="3"/>
    </row>
    <row r="12" spans="1:11">
      <c r="A12" s="3" t="s">
        <v>22</v>
      </c>
      <c r="B12" s="5" t="s">
        <v>25</v>
      </c>
      <c r="C12" s="3" t="s">
        <v>20</v>
      </c>
      <c r="D12" s="3"/>
      <c r="E12" s="3"/>
      <c r="F12" s="3"/>
      <c r="G12" s="3"/>
      <c r="H12" s="3"/>
      <c r="I12" s="3"/>
      <c r="J12" s="3"/>
      <c r="K12" s="3"/>
    </row>
    <row r="13" spans="1:11">
      <c r="A13" s="3">
        <v>4</v>
      </c>
      <c r="B13" s="4" t="s">
        <v>26</v>
      </c>
      <c r="C13" s="3" t="s">
        <v>20</v>
      </c>
      <c r="D13" s="3"/>
      <c r="E13" s="3"/>
      <c r="F13" s="3"/>
      <c r="G13" s="3"/>
      <c r="H13" s="3"/>
      <c r="I13" s="3"/>
      <c r="J13" s="3"/>
      <c r="K13" s="3"/>
    </row>
    <row r="14" spans="1:11" ht="30">
      <c r="A14" s="3">
        <v>5</v>
      </c>
      <c r="B14" s="4" t="s">
        <v>27</v>
      </c>
      <c r="C14" s="3" t="s">
        <v>18</v>
      </c>
      <c r="D14" s="3"/>
      <c r="E14" s="3"/>
      <c r="F14" s="3"/>
      <c r="G14" s="3"/>
      <c r="H14" s="3"/>
      <c r="I14" s="3"/>
      <c r="J14" s="3"/>
      <c r="K14" s="3"/>
    </row>
    <row r="15" spans="1:11">
      <c r="A15" s="3"/>
      <c r="B15" s="5" t="s">
        <v>28</v>
      </c>
      <c r="C15" s="3" t="s">
        <v>20</v>
      </c>
      <c r="D15" s="3"/>
      <c r="E15" s="3"/>
      <c r="F15" s="3"/>
      <c r="G15" s="3"/>
      <c r="H15" s="3"/>
      <c r="I15" s="3"/>
      <c r="J15" s="3"/>
      <c r="K15" s="3"/>
    </row>
    <row r="16" spans="1:11" ht="30">
      <c r="A16" s="3" t="s">
        <v>22</v>
      </c>
      <c r="B16" s="4" t="s">
        <v>29</v>
      </c>
      <c r="C16" s="3" t="s">
        <v>30</v>
      </c>
      <c r="D16" s="3"/>
      <c r="E16" s="3"/>
      <c r="F16" s="3"/>
      <c r="G16" s="3"/>
      <c r="H16" s="3"/>
      <c r="I16" s="3"/>
      <c r="J16" s="3"/>
      <c r="K16" s="3"/>
    </row>
    <row r="17" spans="1:11" ht="30">
      <c r="A17" s="3" t="s">
        <v>22</v>
      </c>
      <c r="B17" s="4" t="s">
        <v>31</v>
      </c>
      <c r="C17" s="3" t="s">
        <v>18</v>
      </c>
      <c r="D17" s="3"/>
      <c r="E17" s="3"/>
      <c r="F17" s="3"/>
      <c r="G17" s="3"/>
      <c r="H17" s="3"/>
      <c r="I17" s="3"/>
      <c r="J17" s="3"/>
      <c r="K17" s="3"/>
    </row>
    <row r="18" spans="1:11" ht="30">
      <c r="A18" s="3" t="s">
        <v>22</v>
      </c>
      <c r="B18" s="4" t="s">
        <v>32</v>
      </c>
      <c r="C18" s="3" t="s">
        <v>30</v>
      </c>
      <c r="D18" s="3"/>
      <c r="E18" s="3"/>
      <c r="F18" s="3"/>
      <c r="G18" s="3"/>
      <c r="H18" s="3"/>
      <c r="I18" s="3"/>
      <c r="J18" s="3"/>
      <c r="K18" s="3"/>
    </row>
    <row r="19" spans="1:11" ht="30">
      <c r="A19" s="3" t="s">
        <v>22</v>
      </c>
      <c r="B19" s="4" t="s">
        <v>33</v>
      </c>
      <c r="C19" s="3" t="s">
        <v>18</v>
      </c>
      <c r="D19" s="3"/>
      <c r="E19" s="3"/>
      <c r="F19" s="3"/>
      <c r="G19" s="3"/>
      <c r="H19" s="3"/>
      <c r="I19" s="3"/>
      <c r="J19" s="3"/>
      <c r="K19" s="3"/>
    </row>
    <row r="20" spans="1:11" ht="30">
      <c r="A20" s="3">
        <v>6</v>
      </c>
      <c r="B20" s="4" t="s">
        <v>34</v>
      </c>
      <c r="C20" s="3" t="s">
        <v>35</v>
      </c>
      <c r="D20" s="3"/>
      <c r="E20" s="3"/>
      <c r="F20" s="3"/>
      <c r="G20" s="3"/>
      <c r="H20" s="3"/>
      <c r="I20" s="3"/>
      <c r="J20" s="3"/>
      <c r="K20" s="3"/>
    </row>
    <row r="21" spans="1:11">
      <c r="A21" s="3"/>
      <c r="B21" s="5" t="s">
        <v>36</v>
      </c>
      <c r="C21" s="3" t="s">
        <v>20</v>
      </c>
      <c r="D21" s="3"/>
      <c r="E21" s="3"/>
      <c r="F21" s="3"/>
      <c r="G21" s="3"/>
      <c r="H21" s="3"/>
      <c r="I21" s="3"/>
      <c r="J21" s="3"/>
      <c r="K21" s="3"/>
    </row>
    <row r="22" spans="1:11" ht="30">
      <c r="A22" s="3">
        <v>7</v>
      </c>
      <c r="B22" s="4" t="s">
        <v>37</v>
      </c>
      <c r="C22" s="3" t="s">
        <v>38</v>
      </c>
      <c r="D22" s="3"/>
      <c r="E22" s="3"/>
      <c r="F22" s="3"/>
      <c r="G22" s="3"/>
      <c r="H22" s="3"/>
      <c r="I22" s="3"/>
      <c r="J22" s="3"/>
      <c r="K22" s="3"/>
    </row>
    <row r="23" spans="1:11">
      <c r="A23" s="3"/>
      <c r="B23" s="5" t="s">
        <v>36</v>
      </c>
      <c r="C23" s="3" t="s">
        <v>20</v>
      </c>
      <c r="D23" s="3"/>
      <c r="E23" s="3"/>
      <c r="F23" s="3"/>
      <c r="G23" s="3"/>
      <c r="H23" s="3"/>
      <c r="I23" s="3"/>
      <c r="J23" s="3"/>
      <c r="K23" s="3"/>
    </row>
    <row r="24" spans="1:11" ht="30">
      <c r="A24" s="3">
        <v>8</v>
      </c>
      <c r="B24" s="4" t="s">
        <v>39</v>
      </c>
      <c r="C24" s="3" t="s">
        <v>40</v>
      </c>
      <c r="D24" s="3"/>
      <c r="E24" s="3"/>
      <c r="F24" s="3"/>
      <c r="G24" s="3"/>
      <c r="H24" s="3"/>
      <c r="I24" s="3"/>
      <c r="J24" s="3"/>
      <c r="K24" s="3"/>
    </row>
    <row r="25" spans="1:11" ht="30">
      <c r="A25" s="3">
        <v>9</v>
      </c>
      <c r="B25" s="4" t="s">
        <v>41</v>
      </c>
      <c r="C25" s="3" t="s">
        <v>18</v>
      </c>
      <c r="D25" s="3"/>
      <c r="E25" s="3"/>
      <c r="F25" s="3"/>
      <c r="G25" s="3"/>
      <c r="H25" s="3"/>
      <c r="I25" s="3"/>
      <c r="J25" s="3"/>
      <c r="K25" s="3"/>
    </row>
    <row r="26" spans="1:11" ht="30">
      <c r="A26" s="3">
        <v>10</v>
      </c>
      <c r="B26" s="4" t="s">
        <v>42</v>
      </c>
      <c r="C26" s="3" t="s">
        <v>43</v>
      </c>
      <c r="D26" s="3"/>
      <c r="E26" s="3"/>
      <c r="F26" s="3"/>
      <c r="G26" s="3"/>
      <c r="H26" s="3"/>
      <c r="I26" s="3"/>
      <c r="J26" s="3"/>
      <c r="K26" s="3"/>
    </row>
    <row r="27" spans="1:11">
      <c r="A27" s="3">
        <v>11</v>
      </c>
      <c r="B27" s="4" t="s">
        <v>44</v>
      </c>
      <c r="C27" s="3" t="s">
        <v>20</v>
      </c>
      <c r="D27" s="3"/>
      <c r="E27" s="3"/>
      <c r="F27" s="3"/>
      <c r="G27" s="3"/>
      <c r="H27" s="3"/>
      <c r="I27" s="3"/>
      <c r="J27" s="3"/>
      <c r="K27" s="3"/>
    </row>
    <row r="28" spans="1:11">
      <c r="A28" s="3">
        <v>12</v>
      </c>
      <c r="B28" s="4" t="s">
        <v>45</v>
      </c>
      <c r="C28" s="3" t="s">
        <v>20</v>
      </c>
      <c r="D28" s="3"/>
      <c r="E28" s="3"/>
      <c r="F28" s="3"/>
      <c r="G28" s="3"/>
      <c r="H28" s="3"/>
      <c r="I28" s="3"/>
      <c r="J28" s="3"/>
      <c r="K28" s="3"/>
    </row>
    <row r="29" spans="1:11">
      <c r="A29" s="3">
        <v>13</v>
      </c>
      <c r="B29" s="4" t="s">
        <v>46</v>
      </c>
      <c r="C29" s="3" t="s">
        <v>47</v>
      </c>
      <c r="D29" s="3"/>
      <c r="E29" s="3"/>
      <c r="F29" s="3"/>
      <c r="G29" s="3"/>
      <c r="H29" s="3"/>
      <c r="I29" s="3"/>
      <c r="J29" s="3"/>
      <c r="K29" s="3"/>
    </row>
    <row r="30" spans="1:11" ht="30">
      <c r="A30" s="3">
        <v>14</v>
      </c>
      <c r="B30" s="4" t="s">
        <v>48</v>
      </c>
      <c r="C30" s="3" t="s">
        <v>20</v>
      </c>
      <c r="D30" s="3"/>
      <c r="E30" s="3"/>
      <c r="F30" s="3"/>
      <c r="G30" s="3"/>
      <c r="H30" s="3"/>
      <c r="I30" s="3"/>
      <c r="J30" s="3"/>
      <c r="K30" s="3"/>
    </row>
    <row r="31" spans="1:11" ht="30">
      <c r="A31" s="3">
        <v>15</v>
      </c>
      <c r="B31" s="4" t="s">
        <v>49</v>
      </c>
      <c r="C31" s="3" t="s">
        <v>50</v>
      </c>
      <c r="D31" s="3"/>
      <c r="E31" s="3"/>
      <c r="F31" s="3"/>
      <c r="G31" s="3"/>
      <c r="H31" s="3"/>
      <c r="I31" s="3"/>
      <c r="J31" s="3"/>
      <c r="K31" s="3"/>
    </row>
    <row r="32" spans="1:11" ht="23.25" customHeight="1">
      <c r="A32" s="3">
        <v>16</v>
      </c>
      <c r="B32" s="4" t="s">
        <v>51</v>
      </c>
      <c r="C32" s="3"/>
      <c r="D32" s="3"/>
      <c r="E32" s="3"/>
      <c r="F32" s="3"/>
      <c r="G32" s="3"/>
      <c r="H32" s="3"/>
      <c r="I32" s="3"/>
      <c r="J32" s="3"/>
      <c r="K32" s="3"/>
    </row>
    <row r="33" spans="1:1">
      <c r="A33" s="6" t="s">
        <v>52</v>
      </c>
    </row>
  </sheetData>
  <customSheetViews>
    <customSheetView guid="{9F606621-8853-4836-9A7E-DBA5CF152671}" state="hidden">
      <selection sqref="A1:K1"/>
      <pageMargins left="0.7" right="0.7" top="0.75" bottom="0.75" header="0.3" footer="0.3"/>
      <pageSetup paperSize="9" orientation="portrait" verticalDpi="0" r:id="rId1"/>
    </customSheetView>
    <customSheetView guid="{DB9039ED-C6EA-422D-9A5D-D152D95EDC67}" state="hidden">
      <selection sqref="A1:K1"/>
      <pageMargins left="0.7" right="0.7" top="0.75" bottom="0.75" header="0.3" footer="0.3"/>
      <pageSetup paperSize="9" orientation="portrait" verticalDpi="0" r:id="rId2"/>
    </customSheetView>
  </customSheetViews>
  <mergeCells count="9">
    <mergeCell ref="A1:K1"/>
    <mergeCell ref="A2:K2"/>
    <mergeCell ref="A3:K3"/>
    <mergeCell ref="A4:A5"/>
    <mergeCell ref="B4:B5"/>
    <mergeCell ref="C4:C5"/>
    <mergeCell ref="D4:D5"/>
    <mergeCell ref="E4:J4"/>
    <mergeCell ref="K4:K5"/>
  </mergeCell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sheetPr>
    <tabColor theme="5" tint="0.39997558519241921"/>
  </sheetPr>
  <dimension ref="A1:L26"/>
  <sheetViews>
    <sheetView workbookViewId="0">
      <selection activeCell="C15" sqref="C15"/>
    </sheetView>
  </sheetViews>
  <sheetFormatPr defaultColWidth="9.140625" defaultRowHeight="15"/>
  <cols>
    <col min="1" max="1" width="6" style="1" customWidth="1"/>
    <col min="2" max="2" width="45.28515625" style="1" customWidth="1"/>
    <col min="3" max="7" width="11.28515625" style="1" customWidth="1"/>
    <col min="8" max="16384" width="9.140625" style="1"/>
  </cols>
  <sheetData>
    <row r="1" spans="1:12">
      <c r="A1" s="719" t="s">
        <v>299</v>
      </c>
      <c r="B1" s="719"/>
      <c r="C1" s="719"/>
      <c r="D1" s="719"/>
      <c r="E1" s="719"/>
      <c r="F1" s="719"/>
      <c r="G1" s="719"/>
    </row>
    <row r="2" spans="1:12" ht="42" customHeight="1">
      <c r="A2" s="701" t="s">
        <v>1460</v>
      </c>
      <c r="B2" s="701"/>
      <c r="C2" s="701"/>
      <c r="D2" s="701"/>
      <c r="E2" s="701"/>
      <c r="F2" s="701"/>
      <c r="G2" s="701"/>
    </row>
    <row r="3" spans="1:12">
      <c r="A3" s="720" t="s">
        <v>225</v>
      </c>
      <c r="B3" s="720"/>
      <c r="C3" s="720"/>
      <c r="D3" s="720"/>
      <c r="E3" s="720"/>
      <c r="F3" s="720"/>
      <c r="G3" s="720"/>
    </row>
    <row r="4" spans="1:12">
      <c r="F4" s="723" t="s">
        <v>56</v>
      </c>
      <c r="G4" s="723"/>
    </row>
    <row r="5" spans="1:12" ht="73.5" customHeight="1">
      <c r="A5" s="7" t="s">
        <v>3</v>
      </c>
      <c r="B5" s="7" t="s">
        <v>4</v>
      </c>
      <c r="C5" s="7" t="s">
        <v>796</v>
      </c>
      <c r="D5" s="7" t="s">
        <v>789</v>
      </c>
      <c r="E5" s="7" t="s">
        <v>226</v>
      </c>
      <c r="F5" s="7" t="s">
        <v>790</v>
      </c>
      <c r="G5" s="7" t="s">
        <v>791</v>
      </c>
    </row>
    <row r="6" spans="1:12">
      <c r="A6" s="7" t="s">
        <v>15</v>
      </c>
      <c r="B6" s="7" t="s">
        <v>16</v>
      </c>
      <c r="C6" s="7">
        <v>1</v>
      </c>
      <c r="D6" s="7">
        <v>2</v>
      </c>
      <c r="E6" s="7" t="s">
        <v>258</v>
      </c>
      <c r="F6" s="7">
        <v>4</v>
      </c>
      <c r="G6" s="7">
        <v>5</v>
      </c>
    </row>
    <row r="7" spans="1:12" s="114" customFormat="1" ht="14.25">
      <c r="A7" s="55"/>
      <c r="B7" s="56" t="s">
        <v>300</v>
      </c>
      <c r="C7" s="113" t="e">
        <f>C8+C11</f>
        <v>#REF!</v>
      </c>
      <c r="D7" s="113" t="e">
        <f t="shared" ref="D7:G7" si="0">D8+D11</f>
        <v>#REF!</v>
      </c>
      <c r="E7" s="115" t="e">
        <f>D7/C7</f>
        <v>#REF!</v>
      </c>
      <c r="F7" s="113" t="e">
        <f t="shared" si="0"/>
        <v>#REF!</v>
      </c>
      <c r="G7" s="113" t="e">
        <f t="shared" si="0"/>
        <v>#REF!</v>
      </c>
    </row>
    <row r="8" spans="1:12" s="114" customFormat="1" ht="14.25">
      <c r="A8" s="57" t="s">
        <v>15</v>
      </c>
      <c r="B8" s="58" t="s">
        <v>301</v>
      </c>
      <c r="C8" s="110" t="e">
        <f>C9+C10</f>
        <v>#REF!</v>
      </c>
      <c r="D8" s="110">
        <f t="shared" ref="D8:G8" si="1">D9+D10</f>
        <v>3059281</v>
      </c>
      <c r="E8" s="116" t="e">
        <f t="shared" ref="E8:E21" si="2">D8/C8</f>
        <v>#REF!</v>
      </c>
      <c r="F8" s="110">
        <f t="shared" si="1"/>
        <v>3126682</v>
      </c>
      <c r="G8" s="110">
        <f t="shared" si="1"/>
        <v>3221105</v>
      </c>
    </row>
    <row r="9" spans="1:12" s="114" customFormat="1" ht="14.25">
      <c r="A9" s="57" t="s">
        <v>83</v>
      </c>
      <c r="B9" s="58" t="s">
        <v>302</v>
      </c>
      <c r="C9" s="110" t="e">
        <f>'19-DGCDNS T+H2017'!C20</f>
        <v>#REF!</v>
      </c>
      <c r="D9" s="110">
        <f>'47-CK NSNN'!E21</f>
        <v>2959281</v>
      </c>
      <c r="E9" s="116" t="e">
        <f t="shared" si="2"/>
        <v>#REF!</v>
      </c>
      <c r="F9" s="110">
        <f>2918024+108658</f>
        <v>3026682</v>
      </c>
      <c r="G9" s="110">
        <f>2918024+203081</f>
        <v>3121105</v>
      </c>
    </row>
    <row r="10" spans="1:12" s="114" customFormat="1" ht="14.25">
      <c r="A10" s="57" t="s">
        <v>70</v>
      </c>
      <c r="B10" s="58" t="s">
        <v>292</v>
      </c>
      <c r="C10" s="110" t="e">
        <f>'19-DGCDNS T+H2017'!C21</f>
        <v>#REF!</v>
      </c>
      <c r="D10" s="110">
        <f>'47-CK NSNN'!E22</f>
        <v>100000</v>
      </c>
      <c r="E10" s="116" t="e">
        <f t="shared" si="2"/>
        <v>#REF!</v>
      </c>
      <c r="F10" s="110">
        <v>100000</v>
      </c>
      <c r="G10" s="110">
        <v>100000</v>
      </c>
    </row>
    <row r="11" spans="1:12" s="350" customFormat="1" ht="28.5">
      <c r="A11" s="347" t="s">
        <v>16</v>
      </c>
      <c r="B11" s="348" t="s">
        <v>303</v>
      </c>
      <c r="C11" s="560" t="e">
        <f>'22 - DG chi T+H2017'!D8</f>
        <v>#REF!</v>
      </c>
      <c r="D11" s="560" t="e">
        <f>'33-Chi NS T+H 2018'!D8</f>
        <v>#REF!</v>
      </c>
      <c r="E11" s="561" t="e">
        <f t="shared" si="2"/>
        <v>#REF!</v>
      </c>
      <c r="F11" s="560" t="e">
        <f>6270464-100000+F15+F16+F20+F21</f>
        <v>#REF!</v>
      </c>
      <c r="G11" s="560" t="e">
        <f>7118819-100000+G15+G16+G20+G21</f>
        <v>#REF!</v>
      </c>
    </row>
    <row r="12" spans="1:12" s="114" customFormat="1" ht="14.25">
      <c r="A12" s="57" t="s">
        <v>83</v>
      </c>
      <c r="B12" s="58" t="s">
        <v>93</v>
      </c>
      <c r="C12" s="110" t="e">
        <f>'22 - DG chi T+H2017'!D10+'22 - DG chi T+H2017'!D62+'22 - DG chi T+H2017'!D52+'22 - DG chi T+H2017'!D55+100</f>
        <v>#REF!</v>
      </c>
      <c r="D12" s="110">
        <f>'33-Chi NS T+H 2018'!D10+D15+D16</f>
        <v>2986429</v>
      </c>
      <c r="E12" s="116" t="e">
        <f t="shared" si="2"/>
        <v>#REF!</v>
      </c>
      <c r="F12" s="560">
        <f>(499012+40000+1260000-100000+705840)+F15+F16</f>
        <v>3351389</v>
      </c>
      <c r="G12" s="560">
        <f>2563144-100000+G15+G16</f>
        <v>3291599</v>
      </c>
    </row>
    <row r="13" spans="1:12">
      <c r="A13" s="59">
        <v>1</v>
      </c>
      <c r="B13" s="60" t="s">
        <v>304</v>
      </c>
      <c r="C13" s="109" t="e">
        <f>C12</f>
        <v>#REF!</v>
      </c>
      <c r="D13" s="109">
        <f>'33-Chi NS T+H 2018'!D11+D15+D16</f>
        <v>2986429</v>
      </c>
      <c r="E13" s="117" t="e">
        <f t="shared" si="2"/>
        <v>#REF!</v>
      </c>
      <c r="F13" s="109">
        <f>F12</f>
        <v>3351389</v>
      </c>
      <c r="G13" s="109">
        <f>+G12</f>
        <v>3291599</v>
      </c>
      <c r="I13" s="105">
        <f>+D13-D15-D16</f>
        <v>2188302</v>
      </c>
      <c r="J13" s="105">
        <f>+F13-F15-F16</f>
        <v>2404852</v>
      </c>
      <c r="K13" s="105">
        <f>+G13-G15-G16</f>
        <v>2463144</v>
      </c>
      <c r="L13" s="1" t="s">
        <v>1488</v>
      </c>
    </row>
    <row r="14" spans="1:12">
      <c r="A14" s="67"/>
      <c r="B14" s="64" t="s">
        <v>134</v>
      </c>
      <c r="C14" s="109"/>
      <c r="D14" s="109"/>
      <c r="E14" s="117"/>
      <c r="F14" s="109"/>
      <c r="G14" s="109"/>
      <c r="I14" s="105">
        <f>+'11-KHDTvonNS3nam'!E16</f>
        <v>2188302</v>
      </c>
      <c r="J14" s="105">
        <f>+'11-KHDTvonNS3nam'!F16</f>
        <v>2404852</v>
      </c>
      <c r="K14" s="105">
        <f>+'11-KHDTvonNS3nam'!G16</f>
        <v>2463144</v>
      </c>
      <c r="L14" s="1" t="s">
        <v>1489</v>
      </c>
    </row>
    <row r="15" spans="1:12">
      <c r="A15" s="67" t="s">
        <v>22</v>
      </c>
      <c r="B15" s="64" t="s">
        <v>243</v>
      </c>
      <c r="C15" s="109" t="e">
        <f>+'22 - DG chi T+H2017'!D55+100</f>
        <v>#REF!</v>
      </c>
      <c r="D15" s="109">
        <f>'33-Chi NS T+H 2018'!D31+'33-Chi NS T+H 2018'!D34</f>
        <v>118246</v>
      </c>
      <c r="E15" s="117" t="e">
        <f t="shared" si="2"/>
        <v>#REF!</v>
      </c>
      <c r="F15" s="109">
        <f>'11-KHDTvonNS3nam'!F38</f>
        <v>269233</v>
      </c>
      <c r="G15" s="109">
        <f>'11-KHDTvonNS3nam'!G38</f>
        <v>269233</v>
      </c>
    </row>
    <row r="16" spans="1:12">
      <c r="A16" s="67" t="s">
        <v>22</v>
      </c>
      <c r="B16" s="64" t="s">
        <v>305</v>
      </c>
      <c r="C16" s="109">
        <f>+'22 - DG chi T+H2017'!D62</f>
        <v>119190</v>
      </c>
      <c r="D16" s="109">
        <f>'33-Chi NS T+H 2018'!D37</f>
        <v>679881</v>
      </c>
      <c r="E16" s="117">
        <f t="shared" si="2"/>
        <v>5.7041782028693682</v>
      </c>
      <c r="F16" s="109">
        <f>'11-KHDTvonNS3nam'!F50</f>
        <v>677304</v>
      </c>
      <c r="G16" s="109">
        <f>'11-KHDTvonNS3nam'!G50</f>
        <v>559222</v>
      </c>
    </row>
    <row r="17" spans="1:11" ht="73.150000000000006" customHeight="1">
      <c r="A17" s="59">
        <v>2</v>
      </c>
      <c r="B17" s="60" t="s">
        <v>306</v>
      </c>
      <c r="C17" s="109"/>
      <c r="D17" s="109">
        <f>+'33-Chi NS T+H 2018'!D18</f>
        <v>0</v>
      </c>
      <c r="E17" s="117"/>
      <c r="F17" s="109"/>
      <c r="G17" s="109"/>
      <c r="I17" s="105"/>
      <c r="J17" s="105"/>
      <c r="K17" s="105"/>
    </row>
    <row r="18" spans="1:11">
      <c r="A18" s="57" t="s">
        <v>70</v>
      </c>
      <c r="B18" s="58" t="s">
        <v>307</v>
      </c>
      <c r="C18" s="110" t="e">
        <f>+'22 - DG chi T+H2017'!D27+'22 - DG chi T+H2017'!D53+'22 - DG chi T+H2017'!D56+'22 - DG chi T+H2017'!D58+'22 - DG chi T+H2017'!D59-100+'22 - DG chi T+H2017'!D63</f>
        <v>#REF!</v>
      </c>
      <c r="D18" s="110" t="e">
        <f>'33-Chi NS T+H 2018'!D20+D20+D21</f>
        <v>#REF!</v>
      </c>
      <c r="E18" s="116" t="e">
        <f t="shared" si="2"/>
        <v>#REF!</v>
      </c>
      <c r="F18" s="110" t="e">
        <f>2710703+F20+F21</f>
        <v>#REF!</v>
      </c>
      <c r="G18" s="110" t="e">
        <f>2828797+G20+G21</f>
        <v>#REF!</v>
      </c>
    </row>
    <row r="19" spans="1:11">
      <c r="A19" s="67"/>
      <c r="B19" s="64" t="s">
        <v>134</v>
      </c>
      <c r="C19" s="109"/>
      <c r="D19" s="109"/>
      <c r="E19" s="117"/>
      <c r="F19" s="109"/>
      <c r="G19" s="109"/>
    </row>
    <row r="20" spans="1:11">
      <c r="A20" s="67" t="s">
        <v>22</v>
      </c>
      <c r="B20" s="64" t="s">
        <v>243</v>
      </c>
      <c r="C20" s="109" t="e">
        <f>'22 - DG chi T+H2017'!D53+'22 - DG chi T+H2017'!D56+'22 - DG chi T+H2017'!D58+'22 - DG chi T+H2017'!D59-100</f>
        <v>#REF!</v>
      </c>
      <c r="D20" s="109">
        <f>'33-Chi NS T+H 2018'!D32+'33-Chi NS T+H 2018'!D35</f>
        <v>51330</v>
      </c>
      <c r="E20" s="117" t="e">
        <f t="shared" si="2"/>
        <v>#REF!</v>
      </c>
      <c r="F20" s="109">
        <f>D20</f>
        <v>51330</v>
      </c>
      <c r="G20" s="109">
        <f>F20</f>
        <v>51330</v>
      </c>
    </row>
    <row r="21" spans="1:11">
      <c r="A21" s="67" t="s">
        <v>22</v>
      </c>
      <c r="B21" s="64" t="s">
        <v>244</v>
      </c>
      <c r="C21" s="109" t="e">
        <f>'22 - DG chi T+H2017'!D63</f>
        <v>#REF!</v>
      </c>
      <c r="D21" s="109" t="e">
        <f>+'33-Chi NS T+H 2018'!D38</f>
        <v>#REF!</v>
      </c>
      <c r="E21" s="117" t="e">
        <f t="shared" si="2"/>
        <v>#REF!</v>
      </c>
      <c r="F21" s="109" t="e">
        <f>D21</f>
        <v>#REF!</v>
      </c>
      <c r="G21" s="109" t="e">
        <f>F21</f>
        <v>#REF!</v>
      </c>
    </row>
    <row r="22" spans="1:11">
      <c r="A22" s="61" t="s">
        <v>73</v>
      </c>
      <c r="B22" s="62" t="s">
        <v>98</v>
      </c>
      <c r="C22" s="112"/>
      <c r="D22" s="111">
        <f>'33-Chi NS T+H 2018'!D27</f>
        <v>335292</v>
      </c>
      <c r="E22" s="118"/>
      <c r="F22" s="111">
        <v>878232</v>
      </c>
      <c r="G22" s="111">
        <v>1479063</v>
      </c>
    </row>
    <row r="23" spans="1:11">
      <c r="A23" s="491"/>
      <c r="B23" s="492"/>
      <c r="C23" s="483"/>
      <c r="D23" s="183"/>
      <c r="E23" s="493"/>
      <c r="F23" s="183"/>
      <c r="G23" s="183"/>
    </row>
    <row r="24" spans="1:11" ht="25.5" customHeight="1">
      <c r="A24" s="22" t="s">
        <v>309</v>
      </c>
    </row>
    <row r="25" spans="1:11" ht="51" customHeight="1">
      <c r="A25" s="709" t="s">
        <v>310</v>
      </c>
      <c r="B25" s="709"/>
      <c r="C25" s="709"/>
      <c r="D25" s="709"/>
      <c r="E25" s="709"/>
      <c r="F25" s="709"/>
      <c r="G25" s="709"/>
    </row>
    <row r="26" spans="1:11" ht="39.75" customHeight="1">
      <c r="A26" s="709" t="s">
        <v>308</v>
      </c>
      <c r="B26" s="709"/>
      <c r="C26" s="709"/>
      <c r="D26" s="709"/>
      <c r="E26" s="709"/>
      <c r="F26" s="709"/>
      <c r="G26" s="709"/>
    </row>
  </sheetData>
  <customSheetViews>
    <customSheetView guid="{9F606621-8853-4836-9A7E-DBA5CF152671}" state="hidden">
      <selection activeCell="C15" sqref="C15"/>
      <pageMargins left="0.70866141732283472" right="0.34" top="0.74803149606299213" bottom="0.74803149606299213" header="0.31496062992125984" footer="0.31496062992125984"/>
      <pageSetup paperSize="9" scale="90" orientation="portrait" r:id="rId1"/>
    </customSheetView>
    <customSheetView guid="{DB9039ED-C6EA-422D-9A5D-D152D95EDC67}" showPageBreaks="1" topLeftCell="B4">
      <pane xSplit="1" ySplit="3" topLeftCell="C7" activePane="bottomRight" state="frozen"/>
      <selection pane="bottomRight" activeCell="D10" sqref="D10"/>
      <pageMargins left="0.70866141732283472" right="0.35433070866141736" top="0.74803149606299213" bottom="0.74803149606299213" header="0.31496062992125984" footer="0.31496062992125984"/>
      <printOptions horizontalCentered="1"/>
      <pageSetup paperSize="9" scale="80" orientation="portrait" blackAndWhite="1" r:id="rId2"/>
    </customSheetView>
  </customSheetViews>
  <mergeCells count="6">
    <mergeCell ref="A26:G26"/>
    <mergeCell ref="A1:G1"/>
    <mergeCell ref="A2:G2"/>
    <mergeCell ref="A3:G3"/>
    <mergeCell ref="F4:G4"/>
    <mergeCell ref="A25:G25"/>
  </mergeCells>
  <pageMargins left="0.70866141732283472" right="0.34" top="0.74803149606299213" bottom="0.74803149606299213" header="0.31496062992125984" footer="0.31496062992125984"/>
  <pageSetup paperSize="9" scale="90" orientation="portrait" r:id="rId3"/>
</worksheet>
</file>

<file path=xl/worksheets/sheet11.xml><?xml version="1.0" encoding="utf-8"?>
<worksheet xmlns="http://schemas.openxmlformats.org/spreadsheetml/2006/main" xmlns:r="http://schemas.openxmlformats.org/officeDocument/2006/relationships">
  <sheetPr>
    <tabColor theme="5" tint="0.39997558519241921"/>
  </sheetPr>
  <dimension ref="A1:G108"/>
  <sheetViews>
    <sheetView workbookViewId="0">
      <selection sqref="A1:G1"/>
    </sheetView>
  </sheetViews>
  <sheetFormatPr defaultColWidth="9.140625" defaultRowHeight="15"/>
  <cols>
    <col min="1" max="1" width="5.5703125" style="1" customWidth="1"/>
    <col min="2" max="2" width="45.7109375" style="1" customWidth="1"/>
    <col min="3" max="7" width="12.42578125" style="550" customWidth="1"/>
    <col min="8" max="16384" width="9.140625" style="1"/>
  </cols>
  <sheetData>
    <row r="1" spans="1:7">
      <c r="A1" s="719" t="s">
        <v>311</v>
      </c>
      <c r="B1" s="719"/>
      <c r="C1" s="719"/>
      <c r="D1" s="719"/>
      <c r="E1" s="719"/>
      <c r="F1" s="719"/>
      <c r="G1" s="719"/>
    </row>
    <row r="2" spans="1:7" ht="35.450000000000003" customHeight="1">
      <c r="A2" s="701" t="s">
        <v>799</v>
      </c>
      <c r="B2" s="701"/>
      <c r="C2" s="701"/>
      <c r="D2" s="701"/>
      <c r="E2" s="701"/>
      <c r="F2" s="701"/>
      <c r="G2" s="701"/>
    </row>
    <row r="3" spans="1:7">
      <c r="A3" s="720"/>
      <c r="B3" s="720"/>
      <c r="C3" s="720"/>
      <c r="D3" s="720"/>
      <c r="E3" s="720"/>
      <c r="F3" s="720"/>
      <c r="G3" s="720"/>
    </row>
    <row r="4" spans="1:7">
      <c r="F4" s="724" t="s">
        <v>312</v>
      </c>
      <c r="G4" s="724"/>
    </row>
    <row r="5" spans="1:7" s="551" customFormat="1" ht="31.15" customHeight="1">
      <c r="A5" s="705" t="s">
        <v>3</v>
      </c>
      <c r="B5" s="705" t="s">
        <v>4</v>
      </c>
      <c r="C5" s="725" t="s">
        <v>800</v>
      </c>
      <c r="D5" s="725"/>
      <c r="E5" s="725" t="s">
        <v>1485</v>
      </c>
      <c r="F5" s="725"/>
      <c r="G5" s="725"/>
    </row>
    <row r="6" spans="1:7" s="551" customFormat="1" ht="51" customHeight="1">
      <c r="A6" s="705"/>
      <c r="B6" s="705"/>
      <c r="C6" s="547" t="s">
        <v>796</v>
      </c>
      <c r="D6" s="547" t="s">
        <v>797</v>
      </c>
      <c r="E6" s="547" t="s">
        <v>789</v>
      </c>
      <c r="F6" s="547" t="s">
        <v>790</v>
      </c>
      <c r="G6" s="547" t="s">
        <v>791</v>
      </c>
    </row>
    <row r="7" spans="1:7" s="114" customFormat="1" ht="14.25">
      <c r="A7" s="55"/>
      <c r="B7" s="56" t="s">
        <v>133</v>
      </c>
      <c r="C7" s="113">
        <f>C11+C102</f>
        <v>2922222</v>
      </c>
      <c r="D7" s="113">
        <f t="shared" ref="D7:G7" si="0">D11+D102</f>
        <v>3273330</v>
      </c>
      <c r="E7" s="113">
        <f t="shared" si="0"/>
        <v>3513343</v>
      </c>
      <c r="F7" s="113">
        <f t="shared" si="0"/>
        <v>4066020</v>
      </c>
      <c r="G7" s="113">
        <f t="shared" si="0"/>
        <v>4042850</v>
      </c>
    </row>
    <row r="8" spans="1:7">
      <c r="A8" s="59"/>
      <c r="B8" s="64" t="s">
        <v>134</v>
      </c>
      <c r="C8" s="109"/>
      <c r="D8" s="109"/>
      <c r="E8" s="109"/>
      <c r="F8" s="109"/>
      <c r="G8" s="109"/>
    </row>
    <row r="9" spans="1:7">
      <c r="A9" s="59" t="s">
        <v>22</v>
      </c>
      <c r="B9" s="64" t="s">
        <v>135</v>
      </c>
      <c r="C9" s="109">
        <f>C13+C103</f>
        <v>2922222</v>
      </c>
      <c r="D9" s="109">
        <f t="shared" ref="D9:G9" si="1">D13+D103</f>
        <v>3273330</v>
      </c>
      <c r="E9" s="109">
        <f t="shared" si="1"/>
        <v>3394832</v>
      </c>
      <c r="F9" s="109">
        <f t="shared" si="1"/>
        <v>3806545</v>
      </c>
      <c r="G9" s="109">
        <f t="shared" si="1"/>
        <v>3959219</v>
      </c>
    </row>
    <row r="10" spans="1:7">
      <c r="A10" s="59" t="s">
        <v>22</v>
      </c>
      <c r="B10" s="64" t="s">
        <v>136</v>
      </c>
      <c r="C10" s="109">
        <f>C14+C104</f>
        <v>0</v>
      </c>
      <c r="D10" s="109">
        <f t="shared" ref="D10:G10" si="2">D14+D104</f>
        <v>0</v>
      </c>
      <c r="E10" s="109">
        <f t="shared" si="2"/>
        <v>118511</v>
      </c>
      <c r="F10" s="109">
        <f t="shared" si="2"/>
        <v>259475</v>
      </c>
      <c r="G10" s="109">
        <f t="shared" si="2"/>
        <v>83631</v>
      </c>
    </row>
    <row r="11" spans="1:7" s="114" customFormat="1" ht="14.25">
      <c r="A11" s="57" t="s">
        <v>15</v>
      </c>
      <c r="B11" s="58" t="s">
        <v>137</v>
      </c>
      <c r="C11" s="110">
        <f>C15+C34</f>
        <v>2922222</v>
      </c>
      <c r="D11" s="110">
        <f t="shared" ref="D11:G11" si="3">D15+D34</f>
        <v>3273330</v>
      </c>
      <c r="E11" s="110">
        <f t="shared" si="3"/>
        <v>3513343</v>
      </c>
      <c r="F11" s="110">
        <f t="shared" si="3"/>
        <v>4066020</v>
      </c>
      <c r="G11" s="110">
        <f t="shared" si="3"/>
        <v>4042850</v>
      </c>
    </row>
    <row r="12" spans="1:7">
      <c r="A12" s="59"/>
      <c r="B12" s="64" t="s">
        <v>134</v>
      </c>
      <c r="C12" s="109"/>
      <c r="D12" s="109"/>
      <c r="E12" s="109"/>
      <c r="F12" s="109"/>
      <c r="G12" s="109"/>
    </row>
    <row r="13" spans="1:7">
      <c r="A13" s="59" t="s">
        <v>22</v>
      </c>
      <c r="B13" s="64" t="s">
        <v>135</v>
      </c>
      <c r="C13" s="109">
        <f>C18+C27+C36</f>
        <v>2922222</v>
      </c>
      <c r="D13" s="109">
        <f t="shared" ref="D13:G13" si="4">D18+D27+D36</f>
        <v>3273330</v>
      </c>
      <c r="E13" s="109">
        <f t="shared" si="4"/>
        <v>3394832</v>
      </c>
      <c r="F13" s="109">
        <f t="shared" si="4"/>
        <v>3806545</v>
      </c>
      <c r="G13" s="109">
        <f t="shared" si="4"/>
        <v>3959219</v>
      </c>
    </row>
    <row r="14" spans="1:7">
      <c r="A14" s="59" t="s">
        <v>22</v>
      </c>
      <c r="B14" s="64" t="s">
        <v>136</v>
      </c>
      <c r="C14" s="109">
        <f>C19+C28+C37</f>
        <v>0</v>
      </c>
      <c r="D14" s="109">
        <f t="shared" ref="D14:G14" si="5">D19+D28+D37</f>
        <v>0</v>
      </c>
      <c r="E14" s="109">
        <f t="shared" si="5"/>
        <v>118511</v>
      </c>
      <c r="F14" s="109">
        <f t="shared" si="5"/>
        <v>259475</v>
      </c>
      <c r="G14" s="109">
        <f t="shared" si="5"/>
        <v>83631</v>
      </c>
    </row>
    <row r="15" spans="1:7" s="114" customFormat="1" ht="28.5">
      <c r="A15" s="57" t="s">
        <v>83</v>
      </c>
      <c r="B15" s="58" t="s">
        <v>1486</v>
      </c>
      <c r="C15" s="110">
        <f>C16+C25</f>
        <v>2637502</v>
      </c>
      <c r="D15" s="110">
        <f t="shared" ref="D15:G15" si="6">D16+D25</f>
        <v>2988610</v>
      </c>
      <c r="E15" s="110">
        <f t="shared" si="6"/>
        <v>3007216</v>
      </c>
      <c r="F15" s="110">
        <f t="shared" si="6"/>
        <v>3119483</v>
      </c>
      <c r="G15" s="110">
        <f t="shared" si="6"/>
        <v>3214395</v>
      </c>
    </row>
    <row r="16" spans="1:7">
      <c r="A16" s="59">
        <v>1</v>
      </c>
      <c r="B16" s="60" t="s">
        <v>855</v>
      </c>
      <c r="C16" s="109">
        <f>C18+C19</f>
        <v>2065217</v>
      </c>
      <c r="D16" s="109">
        <f t="shared" ref="D16:G16" si="7">D18+D19</f>
        <v>2065217</v>
      </c>
      <c r="E16" s="109">
        <f t="shared" si="7"/>
        <v>2188302</v>
      </c>
      <c r="F16" s="109">
        <f t="shared" si="7"/>
        <v>2404852</v>
      </c>
      <c r="G16" s="109">
        <f t="shared" si="7"/>
        <v>2463144</v>
      </c>
    </row>
    <row r="17" spans="1:7">
      <c r="A17" s="59"/>
      <c r="B17" s="64" t="s">
        <v>134</v>
      </c>
      <c r="C17" s="109"/>
      <c r="D17" s="109"/>
      <c r="E17" s="109"/>
      <c r="F17" s="109"/>
      <c r="G17" s="109"/>
    </row>
    <row r="18" spans="1:7">
      <c r="A18" s="59" t="s">
        <v>22</v>
      </c>
      <c r="B18" s="64" t="s">
        <v>135</v>
      </c>
      <c r="C18" s="109">
        <f>SUM(C20:C24)-C19</f>
        <v>2065217</v>
      </c>
      <c r="D18" s="109">
        <f t="shared" ref="D18" si="8">SUM(D20:D24)-D19</f>
        <v>2065217</v>
      </c>
      <c r="E18" s="109">
        <f>SUM(E20:E23)-E19</f>
        <v>2152502</v>
      </c>
      <c r="F18" s="109">
        <f t="shared" ref="F18:G18" si="9">SUM(F20:F23)-F19</f>
        <v>2199012</v>
      </c>
      <c r="G18" s="109">
        <f t="shared" si="9"/>
        <v>2379513</v>
      </c>
    </row>
    <row r="19" spans="1:7">
      <c r="A19" s="59" t="s">
        <v>22</v>
      </c>
      <c r="B19" s="64" t="s">
        <v>136</v>
      </c>
      <c r="C19" s="109"/>
      <c r="D19" s="109"/>
      <c r="E19" s="109">
        <v>35800</v>
      </c>
      <c r="F19" s="109">
        <v>205840</v>
      </c>
      <c r="G19" s="109">
        <v>83631</v>
      </c>
    </row>
    <row r="20" spans="1:7">
      <c r="A20" s="59" t="s">
        <v>144</v>
      </c>
      <c r="B20" s="64" t="s">
        <v>325</v>
      </c>
      <c r="C20" s="109">
        <v>18500</v>
      </c>
      <c r="D20" s="109">
        <v>18500</v>
      </c>
      <c r="E20" s="109">
        <v>206000</v>
      </c>
      <c r="F20" s="109">
        <v>40000</v>
      </c>
      <c r="G20" s="109">
        <v>40500</v>
      </c>
    </row>
    <row r="21" spans="1:7">
      <c r="A21" s="59" t="s">
        <v>146</v>
      </c>
      <c r="B21" s="64" t="s">
        <v>313</v>
      </c>
      <c r="C21" s="109">
        <v>1020000</v>
      </c>
      <c r="D21" s="109">
        <v>1020000</v>
      </c>
      <c r="E21" s="109">
        <f>1200000-E31</f>
        <v>1100000</v>
      </c>
      <c r="F21" s="109">
        <f>1260000-F31</f>
        <v>1160000</v>
      </c>
      <c r="G21" s="109">
        <f>1325000-G31</f>
        <v>1225000</v>
      </c>
    </row>
    <row r="22" spans="1:7">
      <c r="A22" s="59" t="s">
        <v>314</v>
      </c>
      <c r="B22" s="64" t="s">
        <v>315</v>
      </c>
      <c r="C22" s="109">
        <v>584055</v>
      </c>
      <c r="D22" s="109">
        <v>584055</v>
      </c>
      <c r="E22" s="109">
        <v>358202</v>
      </c>
      <c r="F22" s="109">
        <v>499012</v>
      </c>
      <c r="G22" s="109">
        <v>614013</v>
      </c>
    </row>
    <row r="23" spans="1:7">
      <c r="A23" s="83" t="s">
        <v>1465</v>
      </c>
      <c r="B23" s="64" t="s">
        <v>454</v>
      </c>
      <c r="C23" s="109">
        <v>442662</v>
      </c>
      <c r="D23" s="109">
        <v>442662</v>
      </c>
      <c r="E23" s="109">
        <v>524100</v>
      </c>
      <c r="F23" s="109">
        <f>397188+F24</f>
        <v>705840</v>
      </c>
      <c r="G23" s="109">
        <f>336392+G24</f>
        <v>583631</v>
      </c>
    </row>
    <row r="24" spans="1:7">
      <c r="A24" s="59" t="s">
        <v>22</v>
      </c>
      <c r="B24" s="64" t="s">
        <v>316</v>
      </c>
      <c r="C24" s="109"/>
      <c r="D24" s="109"/>
      <c r="E24" s="109">
        <v>90000</v>
      </c>
      <c r="F24" s="109">
        <v>308652</v>
      </c>
      <c r="G24" s="109">
        <v>247239</v>
      </c>
    </row>
    <row r="25" spans="1:7">
      <c r="A25" s="57">
        <v>2</v>
      </c>
      <c r="B25" s="58" t="s">
        <v>317</v>
      </c>
      <c r="C25" s="109">
        <f>C27+C28</f>
        <v>572285</v>
      </c>
      <c r="D25" s="109">
        <f t="shared" ref="D25:G25" si="10">D27+D28</f>
        <v>923393</v>
      </c>
      <c r="E25" s="109">
        <f t="shared" si="10"/>
        <v>818914</v>
      </c>
      <c r="F25" s="109">
        <f t="shared" si="10"/>
        <v>714631</v>
      </c>
      <c r="G25" s="109">
        <f t="shared" si="10"/>
        <v>751251</v>
      </c>
    </row>
    <row r="26" spans="1:7">
      <c r="A26" s="59"/>
      <c r="B26" s="64" t="s">
        <v>134</v>
      </c>
      <c r="C26" s="109"/>
      <c r="D26" s="109"/>
      <c r="E26" s="109"/>
      <c r="F26" s="109"/>
      <c r="G26" s="109"/>
    </row>
    <row r="27" spans="1:7">
      <c r="A27" s="59" t="s">
        <v>22</v>
      </c>
      <c r="B27" s="64" t="s">
        <v>135</v>
      </c>
      <c r="C27" s="109">
        <f>SUM(C30:C33)-C28</f>
        <v>572285</v>
      </c>
      <c r="D27" s="109">
        <f t="shared" ref="D27:G27" si="11">SUM(D30:D33)-D28</f>
        <v>923393</v>
      </c>
      <c r="E27" s="109">
        <f t="shared" si="11"/>
        <v>818914</v>
      </c>
      <c r="F27" s="109">
        <f t="shared" si="11"/>
        <v>714631</v>
      </c>
      <c r="G27" s="109">
        <f t="shared" si="11"/>
        <v>751251</v>
      </c>
    </row>
    <row r="28" spans="1:7">
      <c r="A28" s="59" t="s">
        <v>22</v>
      </c>
      <c r="B28" s="64" t="s">
        <v>136</v>
      </c>
      <c r="C28" s="109"/>
      <c r="D28" s="109"/>
      <c r="E28" s="109"/>
      <c r="F28" s="109"/>
      <c r="G28" s="109"/>
    </row>
    <row r="29" spans="1:7">
      <c r="A29" s="67"/>
      <c r="B29" s="64" t="s">
        <v>134</v>
      </c>
      <c r="C29" s="109"/>
      <c r="D29" s="109"/>
      <c r="E29" s="109"/>
      <c r="F29" s="109"/>
      <c r="G29" s="109"/>
    </row>
    <row r="30" spans="1:7">
      <c r="A30" s="59" t="s">
        <v>144</v>
      </c>
      <c r="B30" s="64" t="s">
        <v>326</v>
      </c>
      <c r="C30" s="109">
        <v>226500</v>
      </c>
      <c r="D30" s="109">
        <v>562154.5</v>
      </c>
      <c r="E30" s="109">
        <v>454000</v>
      </c>
      <c r="F30" s="109">
        <v>320000</v>
      </c>
      <c r="G30" s="109">
        <v>329500</v>
      </c>
    </row>
    <row r="31" spans="1:7">
      <c r="A31" s="59" t="s">
        <v>146</v>
      </c>
      <c r="B31" s="64" t="s">
        <v>318</v>
      </c>
      <c r="C31" s="109">
        <v>100000</v>
      </c>
      <c r="D31" s="109">
        <v>100000</v>
      </c>
      <c r="E31" s="109">
        <v>100000</v>
      </c>
      <c r="F31" s="109">
        <v>100000</v>
      </c>
      <c r="G31" s="109">
        <v>100000</v>
      </c>
    </row>
    <row r="32" spans="1:7">
      <c r="A32" s="59" t="s">
        <v>314</v>
      </c>
      <c r="B32" s="64" t="s">
        <v>319</v>
      </c>
      <c r="C32" s="109">
        <v>245785</v>
      </c>
      <c r="D32" s="109">
        <v>245785</v>
      </c>
      <c r="E32" s="109">
        <v>264914</v>
      </c>
      <c r="F32" s="109">
        <v>294631</v>
      </c>
      <c r="G32" s="109">
        <v>321751</v>
      </c>
    </row>
    <row r="33" spans="1:7">
      <c r="A33" s="83" t="s">
        <v>1465</v>
      </c>
      <c r="B33" s="64" t="s">
        <v>454</v>
      </c>
      <c r="C33" s="109"/>
      <c r="D33" s="109">
        <v>15453.5</v>
      </c>
      <c r="E33" s="109"/>
      <c r="F33" s="109"/>
      <c r="G33" s="109"/>
    </row>
    <row r="34" spans="1:7" ht="28.5">
      <c r="A34" s="57" t="s">
        <v>70</v>
      </c>
      <c r="B34" s="58" t="s">
        <v>142</v>
      </c>
      <c r="C34" s="110">
        <f>+C38+C50</f>
        <v>284720</v>
      </c>
      <c r="D34" s="110">
        <f t="shared" ref="D34:G37" si="12">+D38+D50</f>
        <v>284720</v>
      </c>
      <c r="E34" s="110">
        <f t="shared" si="12"/>
        <v>506127</v>
      </c>
      <c r="F34" s="110">
        <f t="shared" si="12"/>
        <v>946537</v>
      </c>
      <c r="G34" s="110">
        <f t="shared" si="12"/>
        <v>828455</v>
      </c>
    </row>
    <row r="35" spans="1:7">
      <c r="A35" s="59"/>
      <c r="B35" s="64" t="s">
        <v>134</v>
      </c>
      <c r="C35" s="109"/>
      <c r="D35" s="109"/>
      <c r="E35" s="109"/>
      <c r="F35" s="109"/>
      <c r="G35" s="109"/>
    </row>
    <row r="36" spans="1:7">
      <c r="A36" s="59"/>
      <c r="B36" s="64" t="s">
        <v>320</v>
      </c>
      <c r="C36" s="109">
        <f>+C40+C52</f>
        <v>284720</v>
      </c>
      <c r="D36" s="109">
        <f t="shared" si="12"/>
        <v>284720</v>
      </c>
      <c r="E36" s="109">
        <f t="shared" si="12"/>
        <v>423416</v>
      </c>
      <c r="F36" s="109">
        <f t="shared" si="12"/>
        <v>892902</v>
      </c>
      <c r="G36" s="109">
        <f t="shared" si="12"/>
        <v>828455</v>
      </c>
    </row>
    <row r="37" spans="1:7">
      <c r="A37" s="59"/>
      <c r="B37" s="64" t="s">
        <v>321</v>
      </c>
      <c r="C37" s="109">
        <f>+C41+C53</f>
        <v>0</v>
      </c>
      <c r="D37" s="109">
        <f t="shared" si="12"/>
        <v>0</v>
      </c>
      <c r="E37" s="109">
        <f t="shared" si="12"/>
        <v>82711</v>
      </c>
      <c r="F37" s="109">
        <f t="shared" si="12"/>
        <v>53635</v>
      </c>
      <c r="G37" s="109">
        <f t="shared" si="12"/>
        <v>0</v>
      </c>
    </row>
    <row r="38" spans="1:7" s="114" customFormat="1" ht="14.25">
      <c r="A38" s="57">
        <v>1</v>
      </c>
      <c r="B38" s="58" t="s">
        <v>143</v>
      </c>
      <c r="C38" s="110">
        <f>C42+C46</f>
        <v>151530</v>
      </c>
      <c r="D38" s="110">
        <f t="shared" ref="D38:G38" si="13">D42+D46</f>
        <v>151530</v>
      </c>
      <c r="E38" s="110">
        <f t="shared" si="13"/>
        <v>118246</v>
      </c>
      <c r="F38" s="110">
        <f t="shared" si="13"/>
        <v>269233</v>
      </c>
      <c r="G38" s="110">
        <f t="shared" si="13"/>
        <v>269233</v>
      </c>
    </row>
    <row r="39" spans="1:7">
      <c r="A39" s="59"/>
      <c r="B39" s="64" t="s">
        <v>134</v>
      </c>
      <c r="C39" s="109"/>
      <c r="D39" s="109"/>
      <c r="E39" s="109"/>
      <c r="F39" s="109"/>
      <c r="G39" s="109"/>
    </row>
    <row r="40" spans="1:7">
      <c r="A40" s="59"/>
      <c r="B40" s="64" t="s">
        <v>320</v>
      </c>
      <c r="C40" s="109">
        <f>+C44+C48</f>
        <v>151530</v>
      </c>
      <c r="D40" s="109">
        <f t="shared" ref="D40:G41" si="14">+D44+D48</f>
        <v>151530</v>
      </c>
      <c r="E40" s="109">
        <f t="shared" si="14"/>
        <v>118246</v>
      </c>
      <c r="F40" s="109">
        <f t="shared" si="14"/>
        <v>269233</v>
      </c>
      <c r="G40" s="109">
        <f t="shared" si="14"/>
        <v>269233</v>
      </c>
    </row>
    <row r="41" spans="1:7">
      <c r="A41" s="59"/>
      <c r="B41" s="64" t="s">
        <v>321</v>
      </c>
      <c r="C41" s="109">
        <f>+C45+C49</f>
        <v>0</v>
      </c>
      <c r="D41" s="109">
        <f t="shared" si="14"/>
        <v>0</v>
      </c>
      <c r="E41" s="109">
        <f t="shared" si="14"/>
        <v>0</v>
      </c>
      <c r="F41" s="109">
        <f t="shared" si="14"/>
        <v>0</v>
      </c>
      <c r="G41" s="109">
        <f t="shared" si="14"/>
        <v>0</v>
      </c>
    </row>
    <row r="42" spans="1:7" ht="30">
      <c r="A42" s="59" t="s">
        <v>144</v>
      </c>
      <c r="B42" s="60" t="s">
        <v>1461</v>
      </c>
      <c r="C42" s="109">
        <f>99000+34430</f>
        <v>133430</v>
      </c>
      <c r="D42" s="109">
        <f>+C42</f>
        <v>133430</v>
      </c>
      <c r="E42" s="109">
        <v>103100</v>
      </c>
      <c r="F42" s="109">
        <v>252705</v>
      </c>
      <c r="G42" s="109">
        <v>252705</v>
      </c>
    </row>
    <row r="43" spans="1:7">
      <c r="A43" s="59"/>
      <c r="B43" s="64" t="s">
        <v>134</v>
      </c>
      <c r="C43" s="109"/>
      <c r="D43" s="109"/>
      <c r="E43" s="109"/>
      <c r="F43" s="109"/>
      <c r="G43" s="109"/>
    </row>
    <row r="44" spans="1:7">
      <c r="A44" s="59"/>
      <c r="B44" s="64" t="s">
        <v>320</v>
      </c>
      <c r="C44" s="109">
        <f>+C42-C45</f>
        <v>133430</v>
      </c>
      <c r="D44" s="109">
        <f t="shared" ref="D44:G44" si="15">+D42-D45</f>
        <v>133430</v>
      </c>
      <c r="E44" s="109">
        <f t="shared" si="15"/>
        <v>103100</v>
      </c>
      <c r="F44" s="109">
        <f t="shared" si="15"/>
        <v>252705</v>
      </c>
      <c r="G44" s="109">
        <f t="shared" si="15"/>
        <v>252705</v>
      </c>
    </row>
    <row r="45" spans="1:7">
      <c r="A45" s="59"/>
      <c r="B45" s="64" t="s">
        <v>321</v>
      </c>
      <c r="C45" s="109"/>
      <c r="D45" s="109"/>
      <c r="E45" s="109"/>
      <c r="F45" s="109"/>
      <c r="G45" s="109"/>
    </row>
    <row r="46" spans="1:7" ht="30">
      <c r="A46" s="59" t="s">
        <v>146</v>
      </c>
      <c r="B46" s="60" t="s">
        <v>899</v>
      </c>
      <c r="C46" s="109">
        <f>18000+100</f>
        <v>18100</v>
      </c>
      <c r="D46" s="109">
        <f>18000+100</f>
        <v>18100</v>
      </c>
      <c r="E46" s="109">
        <v>15146</v>
      </c>
      <c r="F46" s="109">
        <v>16528</v>
      </c>
      <c r="G46" s="109">
        <v>16528</v>
      </c>
    </row>
    <row r="47" spans="1:7">
      <c r="A47" s="83"/>
      <c r="B47" s="64" t="s">
        <v>134</v>
      </c>
      <c r="C47" s="109"/>
      <c r="D47" s="109"/>
      <c r="E47" s="109"/>
      <c r="F47" s="109"/>
      <c r="G47" s="109"/>
    </row>
    <row r="48" spans="1:7">
      <c r="A48" s="83"/>
      <c r="B48" s="64" t="s">
        <v>320</v>
      </c>
      <c r="C48" s="109">
        <f>+C46-C49</f>
        <v>18100</v>
      </c>
      <c r="D48" s="109">
        <f t="shared" ref="D48" si="16">+D46-D49</f>
        <v>18100</v>
      </c>
      <c r="E48" s="109">
        <f t="shared" ref="E48" si="17">+E46-E49</f>
        <v>15146</v>
      </c>
      <c r="F48" s="109">
        <f t="shared" ref="F48" si="18">+F46-F49</f>
        <v>16528</v>
      </c>
      <c r="G48" s="109">
        <f t="shared" ref="G48" si="19">+G46-G49</f>
        <v>16528</v>
      </c>
    </row>
    <row r="49" spans="1:7">
      <c r="A49" s="83"/>
      <c r="B49" s="64" t="s">
        <v>321</v>
      </c>
      <c r="C49" s="109"/>
      <c r="D49" s="109"/>
      <c r="E49" s="109"/>
      <c r="F49" s="109"/>
      <c r="G49" s="109"/>
    </row>
    <row r="50" spans="1:7">
      <c r="A50" s="57">
        <v>2</v>
      </c>
      <c r="B50" s="58" t="s">
        <v>1462</v>
      </c>
      <c r="C50" s="110">
        <f>C54+C58+C62+C66+C70+C74+C78+C82+C86+C90+C94+C98</f>
        <v>133190</v>
      </c>
      <c r="D50" s="110">
        <f t="shared" ref="D50:G50" si="20">D54+D58+D62+D66+D70+D74+D78+D82+D86+D90+D94+D98</f>
        <v>133190</v>
      </c>
      <c r="E50" s="110">
        <f t="shared" si="20"/>
        <v>387881</v>
      </c>
      <c r="F50" s="110">
        <f t="shared" si="20"/>
        <v>677304</v>
      </c>
      <c r="G50" s="110">
        <f t="shared" si="20"/>
        <v>559222</v>
      </c>
    </row>
    <row r="51" spans="1:7">
      <c r="A51" s="59"/>
      <c r="B51" s="64" t="s">
        <v>134</v>
      </c>
      <c r="C51" s="109"/>
      <c r="D51" s="109"/>
      <c r="E51" s="109"/>
      <c r="F51" s="109"/>
      <c r="G51" s="109"/>
    </row>
    <row r="52" spans="1:7">
      <c r="A52" s="59"/>
      <c r="B52" s="64" t="s">
        <v>320</v>
      </c>
      <c r="C52" s="109">
        <f>+C50-C53</f>
        <v>133190</v>
      </c>
      <c r="D52" s="109">
        <f t="shared" ref="D52" si="21">+D50-D53</f>
        <v>133190</v>
      </c>
      <c r="E52" s="109">
        <f t="shared" ref="E52" si="22">+E50-E53</f>
        <v>305170</v>
      </c>
      <c r="F52" s="109">
        <f t="shared" ref="F52" si="23">+F50-F53</f>
        <v>623669</v>
      </c>
      <c r="G52" s="109">
        <f t="shared" ref="G52" si="24">+G50-G53</f>
        <v>559222</v>
      </c>
    </row>
    <row r="53" spans="1:7">
      <c r="A53" s="59"/>
      <c r="B53" s="64" t="s">
        <v>321</v>
      </c>
      <c r="C53" s="109">
        <f t="shared" ref="C53:G53" si="25">C57+C61+C65+C69+C73+C77+C81+C85+C89+C93+C97+C101</f>
        <v>0</v>
      </c>
      <c r="D53" s="109">
        <f t="shared" si="25"/>
        <v>0</v>
      </c>
      <c r="E53" s="109">
        <f t="shared" si="25"/>
        <v>82711</v>
      </c>
      <c r="F53" s="109">
        <f t="shared" si="25"/>
        <v>53635</v>
      </c>
      <c r="G53" s="109">
        <f t="shared" si="25"/>
        <v>0</v>
      </c>
    </row>
    <row r="54" spans="1:7" ht="30">
      <c r="A54" s="59" t="s">
        <v>144</v>
      </c>
      <c r="B54" s="60" t="s">
        <v>1467</v>
      </c>
      <c r="C54" s="109">
        <v>119190</v>
      </c>
      <c r="D54" s="109">
        <v>119190</v>
      </c>
      <c r="E54" s="109">
        <v>268000</v>
      </c>
      <c r="F54" s="109">
        <v>427230</v>
      </c>
      <c r="G54" s="109">
        <v>427230</v>
      </c>
    </row>
    <row r="55" spans="1:7">
      <c r="A55" s="59"/>
      <c r="B55" s="64" t="s">
        <v>134</v>
      </c>
      <c r="C55" s="109"/>
      <c r="D55" s="109"/>
      <c r="E55" s="109"/>
      <c r="F55" s="109"/>
      <c r="G55" s="109"/>
    </row>
    <row r="56" spans="1:7">
      <c r="A56" s="59"/>
      <c r="B56" s="64" t="s">
        <v>320</v>
      </c>
      <c r="C56" s="109">
        <f>+C54-C57</f>
        <v>119190</v>
      </c>
      <c r="D56" s="109">
        <f t="shared" ref="D56" si="26">+D54-D57</f>
        <v>119190</v>
      </c>
      <c r="E56" s="109">
        <f t="shared" ref="E56" si="27">+E54-E57</f>
        <v>268000</v>
      </c>
      <c r="F56" s="109">
        <f t="shared" ref="F56" si="28">+F54-F57</f>
        <v>427230</v>
      </c>
      <c r="G56" s="109">
        <f t="shared" ref="G56" si="29">+G54-G57</f>
        <v>427230</v>
      </c>
    </row>
    <row r="57" spans="1:7">
      <c r="A57" s="59"/>
      <c r="B57" s="64" t="s">
        <v>321</v>
      </c>
      <c r="C57" s="109"/>
      <c r="D57" s="109"/>
      <c r="E57" s="109"/>
      <c r="F57" s="109"/>
      <c r="G57" s="109"/>
    </row>
    <row r="58" spans="1:7" ht="45">
      <c r="A58" s="83" t="s">
        <v>146</v>
      </c>
      <c r="B58" s="60" t="s">
        <v>1468</v>
      </c>
      <c r="C58" s="109">
        <v>14000</v>
      </c>
      <c r="D58" s="109">
        <v>14000</v>
      </c>
      <c r="E58" s="109"/>
      <c r="F58" s="109"/>
      <c r="G58" s="109"/>
    </row>
    <row r="59" spans="1:7">
      <c r="A59" s="83"/>
      <c r="B59" s="64" t="s">
        <v>134</v>
      </c>
      <c r="C59" s="109"/>
      <c r="D59" s="109"/>
      <c r="E59" s="109"/>
      <c r="F59" s="109"/>
      <c r="G59" s="109"/>
    </row>
    <row r="60" spans="1:7">
      <c r="A60" s="83"/>
      <c r="B60" s="64" t="s">
        <v>320</v>
      </c>
      <c r="C60" s="109">
        <f>+C58-C61</f>
        <v>14000</v>
      </c>
      <c r="D60" s="109">
        <f t="shared" ref="D60" si="30">+D58-D61</f>
        <v>14000</v>
      </c>
      <c r="E60" s="109">
        <f t="shared" ref="E60" si="31">+E58-E61</f>
        <v>0</v>
      </c>
      <c r="F60" s="109">
        <f t="shared" ref="F60" si="32">+F58-F61</f>
        <v>0</v>
      </c>
      <c r="G60" s="109">
        <f t="shared" ref="G60" si="33">+G58-G61</f>
        <v>0</v>
      </c>
    </row>
    <row r="61" spans="1:7">
      <c r="A61" s="83"/>
      <c r="B61" s="64" t="s">
        <v>321</v>
      </c>
      <c r="C61" s="109"/>
      <c r="D61" s="109"/>
      <c r="E61" s="109"/>
      <c r="F61" s="109"/>
      <c r="G61" s="109"/>
    </row>
    <row r="62" spans="1:7">
      <c r="A62" s="83" t="s">
        <v>314</v>
      </c>
      <c r="B62" s="60" t="s">
        <v>1469</v>
      </c>
      <c r="C62" s="109"/>
      <c r="D62" s="109"/>
      <c r="E62" s="109">
        <v>37170</v>
      </c>
      <c r="F62" s="109"/>
      <c r="G62" s="109"/>
    </row>
    <row r="63" spans="1:7">
      <c r="A63" s="83"/>
      <c r="B63" s="64" t="s">
        <v>134</v>
      </c>
      <c r="C63" s="109"/>
      <c r="D63" s="109"/>
      <c r="E63" s="109"/>
      <c r="F63" s="109"/>
      <c r="G63" s="109"/>
    </row>
    <row r="64" spans="1:7">
      <c r="A64" s="83"/>
      <c r="B64" s="64" t="s">
        <v>320</v>
      </c>
      <c r="C64" s="109">
        <f>+C62-C65</f>
        <v>0</v>
      </c>
      <c r="D64" s="109">
        <f t="shared" ref="D64" si="34">+D62-D65</f>
        <v>0</v>
      </c>
      <c r="E64" s="109">
        <f t="shared" ref="E64" si="35">+E62-E65</f>
        <v>37170</v>
      </c>
      <c r="F64" s="109">
        <f t="shared" ref="F64" si="36">+F62-F65</f>
        <v>0</v>
      </c>
      <c r="G64" s="109">
        <f t="shared" ref="G64" si="37">+G62-G65</f>
        <v>0</v>
      </c>
    </row>
    <row r="65" spans="1:7">
      <c r="A65" s="83"/>
      <c r="B65" s="64" t="s">
        <v>321</v>
      </c>
      <c r="C65" s="109"/>
      <c r="D65" s="109"/>
      <c r="E65" s="109"/>
      <c r="F65" s="109"/>
      <c r="G65" s="109"/>
    </row>
    <row r="66" spans="1:7" ht="60">
      <c r="A66" s="83" t="s">
        <v>1465</v>
      </c>
      <c r="B66" s="60" t="s">
        <v>1470</v>
      </c>
      <c r="C66" s="109"/>
      <c r="D66" s="109"/>
      <c r="E66" s="109"/>
      <c r="F66" s="109">
        <v>12815</v>
      </c>
      <c r="G66" s="109">
        <v>12814</v>
      </c>
    </row>
    <row r="67" spans="1:7">
      <c r="A67" s="83"/>
      <c r="B67" s="64" t="s">
        <v>134</v>
      </c>
      <c r="C67" s="109"/>
      <c r="D67" s="109"/>
      <c r="E67" s="109"/>
      <c r="F67" s="109"/>
      <c r="G67" s="109"/>
    </row>
    <row r="68" spans="1:7">
      <c r="A68" s="83"/>
      <c r="B68" s="64" t="s">
        <v>320</v>
      </c>
      <c r="C68" s="109">
        <f>+C66-C69</f>
        <v>0</v>
      </c>
      <c r="D68" s="109">
        <f t="shared" ref="D68" si="38">+D66-D69</f>
        <v>0</v>
      </c>
      <c r="E68" s="109">
        <f t="shared" ref="E68" si="39">+E66-E69</f>
        <v>0</v>
      </c>
      <c r="F68" s="109">
        <f t="shared" ref="F68" si="40">+F66-F69</f>
        <v>12815</v>
      </c>
      <c r="G68" s="109">
        <f t="shared" ref="G68" si="41">+G66-G69</f>
        <v>12814</v>
      </c>
    </row>
    <row r="69" spans="1:7">
      <c r="A69" s="83"/>
      <c r="B69" s="64" t="s">
        <v>321</v>
      </c>
      <c r="C69" s="109"/>
      <c r="D69" s="109"/>
      <c r="E69" s="109"/>
      <c r="F69" s="109"/>
      <c r="G69" s="109"/>
    </row>
    <row r="70" spans="1:7" ht="30">
      <c r="A70" s="83" t="s">
        <v>1466</v>
      </c>
      <c r="B70" s="60" t="s">
        <v>1471</v>
      </c>
      <c r="C70" s="109"/>
      <c r="D70" s="109"/>
      <c r="E70" s="109"/>
      <c r="F70" s="109">
        <v>251</v>
      </c>
      <c r="G70" s="109">
        <v>251</v>
      </c>
    </row>
    <row r="71" spans="1:7">
      <c r="A71" s="83"/>
      <c r="B71" s="64" t="s">
        <v>134</v>
      </c>
      <c r="C71" s="109"/>
      <c r="D71" s="109"/>
      <c r="E71" s="109"/>
      <c r="F71" s="109"/>
      <c r="G71" s="109"/>
    </row>
    <row r="72" spans="1:7">
      <c r="A72" s="83"/>
      <c r="B72" s="64" t="s">
        <v>320</v>
      </c>
      <c r="C72" s="109">
        <f>+C70-C73</f>
        <v>0</v>
      </c>
      <c r="D72" s="109">
        <f t="shared" ref="D72" si="42">+D70-D73</f>
        <v>0</v>
      </c>
      <c r="E72" s="109">
        <f t="shared" ref="E72" si="43">+E70-E73</f>
        <v>0</v>
      </c>
      <c r="F72" s="109">
        <f t="shared" ref="F72" si="44">+F70-F73</f>
        <v>251</v>
      </c>
      <c r="G72" s="109">
        <f t="shared" ref="G72" si="45">+G70-G73</f>
        <v>251</v>
      </c>
    </row>
    <row r="73" spans="1:7">
      <c r="A73" s="83"/>
      <c r="B73" s="64" t="s">
        <v>321</v>
      </c>
      <c r="C73" s="109"/>
      <c r="D73" s="109"/>
      <c r="E73" s="109"/>
      <c r="F73" s="109"/>
      <c r="G73" s="109"/>
    </row>
    <row r="74" spans="1:7">
      <c r="A74" s="83" t="s">
        <v>1472</v>
      </c>
      <c r="B74" s="60" t="s">
        <v>1473</v>
      </c>
      <c r="C74" s="109"/>
      <c r="D74" s="109"/>
      <c r="E74" s="109"/>
      <c r="F74" s="109">
        <v>7262</v>
      </c>
      <c r="G74" s="109">
        <v>7261</v>
      </c>
    </row>
    <row r="75" spans="1:7">
      <c r="A75" s="83"/>
      <c r="B75" s="64" t="s">
        <v>134</v>
      </c>
      <c r="C75" s="109"/>
      <c r="D75" s="109"/>
      <c r="E75" s="109"/>
      <c r="F75" s="109"/>
      <c r="G75" s="109"/>
    </row>
    <row r="76" spans="1:7">
      <c r="A76" s="83"/>
      <c r="B76" s="64" t="s">
        <v>320</v>
      </c>
      <c r="C76" s="109">
        <f>+C74-C77</f>
        <v>0</v>
      </c>
      <c r="D76" s="109">
        <f t="shared" ref="D76" si="46">+D74-D77</f>
        <v>0</v>
      </c>
      <c r="E76" s="109">
        <f t="shared" ref="E76" si="47">+E74-E77</f>
        <v>0</v>
      </c>
      <c r="F76" s="109">
        <f t="shared" ref="F76" si="48">+F74-F77</f>
        <v>7262</v>
      </c>
      <c r="G76" s="109">
        <f t="shared" ref="G76" si="49">+G74-G77</f>
        <v>7261</v>
      </c>
    </row>
    <row r="77" spans="1:7">
      <c r="A77" s="83"/>
      <c r="B77" s="64" t="s">
        <v>321</v>
      </c>
      <c r="C77" s="109"/>
      <c r="D77" s="109"/>
      <c r="E77" s="109"/>
      <c r="F77" s="109"/>
      <c r="G77" s="109"/>
    </row>
    <row r="78" spans="1:7" ht="30">
      <c r="A78" s="83" t="s">
        <v>1474</v>
      </c>
      <c r="B78" s="60" t="s">
        <v>1475</v>
      </c>
      <c r="C78" s="109"/>
      <c r="D78" s="109"/>
      <c r="E78" s="109"/>
      <c r="F78" s="109">
        <v>11667</v>
      </c>
      <c r="G78" s="109">
        <v>11666</v>
      </c>
    </row>
    <row r="79" spans="1:7">
      <c r="A79" s="83"/>
      <c r="B79" s="64" t="s">
        <v>134</v>
      </c>
      <c r="C79" s="109"/>
      <c r="D79" s="109"/>
      <c r="E79" s="109"/>
      <c r="F79" s="109"/>
      <c r="G79" s="109"/>
    </row>
    <row r="80" spans="1:7">
      <c r="A80" s="83"/>
      <c r="B80" s="64" t="s">
        <v>320</v>
      </c>
      <c r="C80" s="109">
        <f>+C78-C81</f>
        <v>0</v>
      </c>
      <c r="D80" s="109">
        <f t="shared" ref="D80" si="50">+D78-D81</f>
        <v>0</v>
      </c>
      <c r="E80" s="109">
        <f t="shared" ref="E80" si="51">+E78-E81</f>
        <v>0</v>
      </c>
      <c r="F80" s="109">
        <f t="shared" ref="F80" si="52">+F78-F81</f>
        <v>11667</v>
      </c>
      <c r="G80" s="109">
        <f t="shared" ref="G80" si="53">+G78-G81</f>
        <v>11666</v>
      </c>
    </row>
    <row r="81" spans="1:7">
      <c r="A81" s="83"/>
      <c r="B81" s="64" t="s">
        <v>321</v>
      </c>
      <c r="C81" s="109"/>
      <c r="D81" s="109"/>
      <c r="E81" s="109"/>
      <c r="F81" s="109"/>
      <c r="G81" s="109"/>
    </row>
    <row r="82" spans="1:7" ht="45">
      <c r="A82" s="83" t="s">
        <v>1476</v>
      </c>
      <c r="B82" s="60" t="s">
        <v>1482</v>
      </c>
      <c r="C82" s="109"/>
      <c r="D82" s="109"/>
      <c r="E82" s="109"/>
      <c r="F82" s="109">
        <v>100000</v>
      </c>
      <c r="G82" s="109">
        <v>100000</v>
      </c>
    </row>
    <row r="83" spans="1:7">
      <c r="A83" s="83"/>
      <c r="B83" s="64" t="s">
        <v>134</v>
      </c>
      <c r="C83" s="109"/>
      <c r="D83" s="109"/>
      <c r="E83" s="109"/>
      <c r="F83" s="109"/>
      <c r="G83" s="109"/>
    </row>
    <row r="84" spans="1:7">
      <c r="A84" s="83"/>
      <c r="B84" s="64" t="s">
        <v>320</v>
      </c>
      <c r="C84" s="109">
        <f>+C82-C85</f>
        <v>0</v>
      </c>
      <c r="D84" s="109">
        <f t="shared" ref="D84" si="54">+D82-D85</f>
        <v>0</v>
      </c>
      <c r="E84" s="109">
        <f t="shared" ref="E84" si="55">+E82-E85</f>
        <v>0</v>
      </c>
      <c r="F84" s="109">
        <f t="shared" ref="F84" si="56">+F82-F85</f>
        <v>100000</v>
      </c>
      <c r="G84" s="109">
        <f t="shared" ref="G84" si="57">+G82-G85</f>
        <v>100000</v>
      </c>
    </row>
    <row r="85" spans="1:7">
      <c r="A85" s="83"/>
      <c r="B85" s="64" t="s">
        <v>321</v>
      </c>
      <c r="C85" s="109"/>
      <c r="D85" s="109"/>
      <c r="E85" s="109"/>
      <c r="F85" s="109"/>
      <c r="G85" s="109"/>
    </row>
    <row r="86" spans="1:7" ht="30">
      <c r="A86" s="83" t="s">
        <v>1477</v>
      </c>
      <c r="B86" s="60" t="s">
        <v>1481</v>
      </c>
      <c r="C86" s="109"/>
      <c r="D86" s="109"/>
      <c r="E86" s="109"/>
      <c r="F86" s="109">
        <v>64444</v>
      </c>
      <c r="G86" s="109"/>
    </row>
    <row r="87" spans="1:7">
      <c r="A87" s="83"/>
      <c r="B87" s="64" t="s">
        <v>134</v>
      </c>
      <c r="C87" s="109"/>
      <c r="D87" s="109"/>
      <c r="E87" s="109"/>
      <c r="F87" s="109"/>
      <c r="G87" s="109"/>
    </row>
    <row r="88" spans="1:7">
      <c r="A88" s="83"/>
      <c r="B88" s="64" t="s">
        <v>320</v>
      </c>
      <c r="C88" s="109">
        <f>+C86-C89</f>
        <v>0</v>
      </c>
      <c r="D88" s="109">
        <f t="shared" ref="D88" si="58">+D86-D89</f>
        <v>0</v>
      </c>
      <c r="E88" s="109">
        <f t="shared" ref="E88" si="59">+E86-E89</f>
        <v>0</v>
      </c>
      <c r="F88" s="109">
        <f t="shared" ref="F88" si="60">+F86-F89</f>
        <v>64444</v>
      </c>
      <c r="G88" s="109">
        <f t="shared" ref="G88" si="61">+G86-G89</f>
        <v>0</v>
      </c>
    </row>
    <row r="89" spans="1:7">
      <c r="A89" s="83"/>
      <c r="B89" s="64" t="s">
        <v>321</v>
      </c>
      <c r="C89" s="109"/>
      <c r="D89" s="109"/>
      <c r="E89" s="109"/>
      <c r="F89" s="109"/>
      <c r="G89" s="109"/>
    </row>
    <row r="90" spans="1:7">
      <c r="A90" s="83" t="s">
        <v>1478</v>
      </c>
      <c r="B90" s="60" t="s">
        <v>1483</v>
      </c>
      <c r="C90" s="109"/>
      <c r="D90" s="109"/>
      <c r="E90" s="109">
        <v>82711</v>
      </c>
      <c r="F90" s="109">
        <v>53635</v>
      </c>
      <c r="G90" s="109"/>
    </row>
    <row r="91" spans="1:7">
      <c r="A91" s="83"/>
      <c r="B91" s="64" t="s">
        <v>134</v>
      </c>
      <c r="C91" s="109"/>
      <c r="D91" s="109"/>
      <c r="E91" s="109"/>
      <c r="F91" s="109"/>
      <c r="G91" s="109"/>
    </row>
    <row r="92" spans="1:7">
      <c r="A92" s="83"/>
      <c r="B92" s="64" t="s">
        <v>320</v>
      </c>
      <c r="C92" s="109">
        <f>+C90-C93</f>
        <v>0</v>
      </c>
      <c r="D92" s="109">
        <f t="shared" ref="D92" si="62">+D90-D93</f>
        <v>0</v>
      </c>
      <c r="E92" s="109">
        <f t="shared" ref="E92" si="63">+E90-E93</f>
        <v>0</v>
      </c>
      <c r="F92" s="109">
        <f t="shared" ref="F92" si="64">+F90-F93</f>
        <v>0</v>
      </c>
      <c r="G92" s="109">
        <f t="shared" ref="G92" si="65">+G90-G93</f>
        <v>0</v>
      </c>
    </row>
    <row r="93" spans="1:7">
      <c r="A93" s="83"/>
      <c r="B93" s="64" t="s">
        <v>321</v>
      </c>
      <c r="C93" s="109"/>
      <c r="D93" s="109"/>
      <c r="E93" s="109">
        <v>82711</v>
      </c>
      <c r="F93" s="109">
        <v>53635</v>
      </c>
      <c r="G93" s="109"/>
    </row>
    <row r="94" spans="1:7">
      <c r="A94" s="83" t="s">
        <v>1479</v>
      </c>
      <c r="B94" s="60" t="s">
        <v>1463</v>
      </c>
      <c r="C94" s="109"/>
      <c r="D94" s="109"/>
      <c r="E94" s="109"/>
      <c r="F94" s="109"/>
      <c r="G94" s="109"/>
    </row>
    <row r="95" spans="1:7">
      <c r="A95" s="83"/>
      <c r="B95" s="64" t="s">
        <v>134</v>
      </c>
      <c r="C95" s="109"/>
      <c r="D95" s="109"/>
      <c r="E95" s="109"/>
      <c r="F95" s="109"/>
      <c r="G95" s="109"/>
    </row>
    <row r="96" spans="1:7">
      <c r="A96" s="83"/>
      <c r="B96" s="64" t="s">
        <v>320</v>
      </c>
      <c r="C96" s="109">
        <f>+C94-C97</f>
        <v>0</v>
      </c>
      <c r="D96" s="109">
        <f t="shared" ref="D96" si="66">+D94-D97</f>
        <v>0</v>
      </c>
      <c r="E96" s="109">
        <f t="shared" ref="E96" si="67">+E94-E97</f>
        <v>0</v>
      </c>
      <c r="F96" s="109">
        <f t="shared" ref="F96" si="68">+F94-F97</f>
        <v>0</v>
      </c>
      <c r="G96" s="109">
        <f t="shared" ref="G96" si="69">+G94-G97</f>
        <v>0</v>
      </c>
    </row>
    <row r="97" spans="1:7">
      <c r="A97" s="83"/>
      <c r="B97" s="64" t="s">
        <v>321</v>
      </c>
      <c r="C97" s="109"/>
      <c r="D97" s="109"/>
      <c r="E97" s="109"/>
      <c r="F97" s="109"/>
      <c r="G97" s="109"/>
    </row>
    <row r="98" spans="1:7">
      <c r="A98" s="83" t="s">
        <v>1480</v>
      </c>
      <c r="B98" s="60" t="s">
        <v>1463</v>
      </c>
      <c r="C98" s="109"/>
      <c r="D98" s="109"/>
      <c r="E98" s="109"/>
      <c r="F98" s="109"/>
      <c r="G98" s="109"/>
    </row>
    <row r="99" spans="1:7">
      <c r="A99" s="83"/>
      <c r="B99" s="64" t="s">
        <v>134</v>
      </c>
      <c r="C99" s="109"/>
      <c r="D99" s="109"/>
      <c r="E99" s="109"/>
      <c r="F99" s="109"/>
      <c r="G99" s="109"/>
    </row>
    <row r="100" spans="1:7">
      <c r="A100" s="83"/>
      <c r="B100" s="64" t="s">
        <v>320</v>
      </c>
      <c r="C100" s="109">
        <f>+C98-C101</f>
        <v>0</v>
      </c>
      <c r="D100" s="109">
        <f t="shared" ref="D100" si="70">+D98-D101</f>
        <v>0</v>
      </c>
      <c r="E100" s="109">
        <f t="shared" ref="E100" si="71">+E98-E101</f>
        <v>0</v>
      </c>
      <c r="F100" s="109">
        <f t="shared" ref="F100" si="72">+F98-F101</f>
        <v>0</v>
      </c>
      <c r="G100" s="109">
        <f t="shared" ref="G100" si="73">+G98-G101</f>
        <v>0</v>
      </c>
    </row>
    <row r="101" spans="1:7">
      <c r="A101" s="83"/>
      <c r="B101" s="64" t="s">
        <v>321</v>
      </c>
      <c r="C101" s="109"/>
      <c r="D101" s="109"/>
      <c r="E101" s="109"/>
      <c r="F101" s="109"/>
      <c r="G101" s="109"/>
    </row>
    <row r="102" spans="1:7">
      <c r="A102" s="57" t="s">
        <v>16</v>
      </c>
      <c r="B102" s="58" t="s">
        <v>155</v>
      </c>
      <c r="C102" s="109"/>
      <c r="D102" s="109"/>
      <c r="E102" s="109"/>
      <c r="F102" s="109"/>
      <c r="G102" s="109"/>
    </row>
    <row r="103" spans="1:7">
      <c r="A103" s="59" t="s">
        <v>22</v>
      </c>
      <c r="B103" s="64" t="s">
        <v>156</v>
      </c>
      <c r="C103" s="109"/>
      <c r="D103" s="109"/>
      <c r="E103" s="109"/>
      <c r="F103" s="109"/>
      <c r="G103" s="109"/>
    </row>
    <row r="104" spans="1:7">
      <c r="A104" s="65" t="s">
        <v>22</v>
      </c>
      <c r="B104" s="66" t="s">
        <v>322</v>
      </c>
      <c r="C104" s="112"/>
      <c r="D104" s="112"/>
      <c r="E104" s="112"/>
      <c r="F104" s="112"/>
      <c r="G104" s="112"/>
    </row>
    <row r="105" spans="1:7">
      <c r="A105" s="16" t="s">
        <v>118</v>
      </c>
    </row>
    <row r="106" spans="1:7">
      <c r="A106" s="709" t="s">
        <v>327</v>
      </c>
      <c r="B106" s="709"/>
      <c r="C106" s="709"/>
      <c r="D106" s="709"/>
      <c r="E106" s="709"/>
      <c r="F106" s="709"/>
      <c r="G106" s="709"/>
    </row>
    <row r="107" spans="1:7">
      <c r="A107" s="709" t="s">
        <v>323</v>
      </c>
      <c r="B107" s="709"/>
      <c r="C107" s="709"/>
      <c r="D107" s="709"/>
      <c r="E107" s="709"/>
      <c r="F107" s="709"/>
      <c r="G107" s="709"/>
    </row>
    <row r="108" spans="1:7">
      <c r="A108" s="709" t="s">
        <v>324</v>
      </c>
      <c r="B108" s="709"/>
      <c r="C108" s="709"/>
      <c r="D108" s="709"/>
      <c r="E108" s="709"/>
      <c r="F108" s="709"/>
      <c r="G108" s="709"/>
    </row>
  </sheetData>
  <customSheetViews>
    <customSheetView guid="{9F606621-8853-4836-9A7E-DBA5CF152671}" showPageBreaks="1" state="hidden">
      <selection sqref="A1:G1"/>
      <pageMargins left="0.70866141732283472" right="0.35433070866141736" top="0.3" bottom="0.35433070866141736" header="0.15748031496062992" footer="0.15748031496062992"/>
      <pageSetup paperSize="9" scale="79" orientation="portrait" r:id="rId1"/>
    </customSheetView>
    <customSheetView guid="{DB9039ED-C6EA-422D-9A5D-D152D95EDC67}" showPageBreaks="1" hiddenRows="1" topLeftCell="A19">
      <selection activeCell="E21" sqref="E21"/>
      <pageMargins left="0.70866141732283472" right="0.35433070866141736" top="0.31496062992125984" bottom="0.35433070866141736" header="0.15748031496062992" footer="0.15748031496062992"/>
      <pageSetup paperSize="9" scale="79" orientation="portrait" r:id="rId2"/>
    </customSheetView>
  </customSheetViews>
  <mergeCells count="11">
    <mergeCell ref="A107:G107"/>
    <mergeCell ref="A108:G108"/>
    <mergeCell ref="A5:A6"/>
    <mergeCell ref="B5:B6"/>
    <mergeCell ref="C5:D5"/>
    <mergeCell ref="E5:G5"/>
    <mergeCell ref="A1:G1"/>
    <mergeCell ref="A2:G2"/>
    <mergeCell ref="A3:G3"/>
    <mergeCell ref="F4:G4"/>
    <mergeCell ref="A106:G106"/>
  </mergeCells>
  <pageMargins left="0.70866141732283472" right="0.35433070866141736" top="0.3" bottom="0.35433070866141736" header="0.15748031496062992" footer="0.15748031496062992"/>
  <pageSetup paperSize="9" scale="79" orientation="portrait" r:id="rId3"/>
</worksheet>
</file>

<file path=xl/worksheets/sheet12.xml><?xml version="1.0" encoding="utf-8"?>
<worksheet xmlns="http://schemas.openxmlformats.org/spreadsheetml/2006/main" xmlns:r="http://schemas.openxmlformats.org/officeDocument/2006/relationships">
  <dimension ref="A1:J37"/>
  <sheetViews>
    <sheetView topLeftCell="A4" workbookViewId="0">
      <pane xSplit="2" ySplit="4" topLeftCell="D8" activePane="bottomRight" state="frozen"/>
      <selection activeCell="A4" sqref="A4"/>
      <selection pane="topRight" activeCell="C4" sqref="C4"/>
      <selection pane="bottomLeft" activeCell="A8" sqref="A8"/>
      <selection pane="bottomRight" activeCell="E20" sqref="E20"/>
    </sheetView>
  </sheetViews>
  <sheetFormatPr defaultColWidth="9.140625" defaultRowHeight="15"/>
  <cols>
    <col min="1" max="1" width="5.85546875" style="1" customWidth="1"/>
    <col min="2" max="2" width="49.5703125" style="1" customWidth="1"/>
    <col min="3" max="4" width="10" style="105" customWidth="1"/>
    <col min="5" max="5" width="10.140625" style="105" customWidth="1"/>
    <col min="6" max="6" width="11.140625" style="105" customWidth="1"/>
    <col min="7" max="7" width="11.42578125" style="105" customWidth="1"/>
    <col min="8" max="8" width="10.140625" style="105" customWidth="1"/>
    <col min="9" max="16384" width="9.140625" style="1"/>
  </cols>
  <sheetData>
    <row r="1" spans="1:10">
      <c r="A1" s="706" t="s">
        <v>328</v>
      </c>
      <c r="B1" s="706"/>
      <c r="C1" s="706"/>
      <c r="D1" s="706"/>
      <c r="E1" s="706"/>
      <c r="F1" s="706"/>
      <c r="G1" s="706"/>
      <c r="H1" s="706"/>
    </row>
    <row r="2" spans="1:10" ht="18.75">
      <c r="A2" s="701" t="s">
        <v>801</v>
      </c>
      <c r="B2" s="701"/>
      <c r="C2" s="701"/>
      <c r="D2" s="701"/>
      <c r="E2" s="701"/>
      <c r="F2" s="701"/>
      <c r="G2" s="701"/>
      <c r="H2" s="701"/>
    </row>
    <row r="3" spans="1:10">
      <c r="A3" s="707"/>
      <c r="B3" s="707"/>
      <c r="C3" s="707"/>
      <c r="D3" s="707"/>
      <c r="E3" s="707"/>
      <c r="F3" s="707"/>
      <c r="G3" s="707"/>
      <c r="H3" s="707"/>
    </row>
    <row r="4" spans="1:10">
      <c r="G4" s="721" t="s">
        <v>56</v>
      </c>
      <c r="H4" s="721"/>
    </row>
    <row r="5" spans="1:10">
      <c r="A5" s="705" t="s">
        <v>3</v>
      </c>
      <c r="B5" s="705" t="s">
        <v>1358</v>
      </c>
      <c r="C5" s="725" t="s">
        <v>870</v>
      </c>
      <c r="D5" s="725" t="s">
        <v>1360</v>
      </c>
      <c r="E5" s="725" t="s">
        <v>871</v>
      </c>
      <c r="F5" s="725" t="s">
        <v>797</v>
      </c>
      <c r="G5" s="725" t="s">
        <v>226</v>
      </c>
      <c r="H5" s="725"/>
    </row>
    <row r="6" spans="1:10" ht="44.45" customHeight="1">
      <c r="A6" s="705"/>
      <c r="B6" s="705"/>
      <c r="C6" s="725"/>
      <c r="D6" s="725"/>
      <c r="E6" s="725"/>
      <c r="F6" s="725"/>
      <c r="G6" s="145" t="s">
        <v>227</v>
      </c>
      <c r="H6" s="145" t="s">
        <v>331</v>
      </c>
    </row>
    <row r="7" spans="1:10">
      <c r="A7" s="7" t="s">
        <v>15</v>
      </c>
      <c r="B7" s="7" t="s">
        <v>16</v>
      </c>
      <c r="C7" s="106"/>
      <c r="D7" s="445"/>
      <c r="E7" s="106">
        <v>1</v>
      </c>
      <c r="F7" s="106">
        <v>2</v>
      </c>
      <c r="G7" s="106" t="s">
        <v>332</v>
      </c>
      <c r="H7" s="106" t="s">
        <v>333</v>
      </c>
    </row>
    <row r="8" spans="1:10" s="114" customFormat="1" ht="14.25">
      <c r="A8" s="55" t="s">
        <v>15</v>
      </c>
      <c r="B8" s="56" t="s">
        <v>231</v>
      </c>
      <c r="C8" s="113">
        <f>C9+C12+C15+C16+C17</f>
        <v>9637172</v>
      </c>
      <c r="D8" s="113">
        <f>D9+D12+D15+D16+D17</f>
        <v>9850155</v>
      </c>
      <c r="E8" s="113">
        <f>E9+E12+E15+E16+E17</f>
        <v>9900155</v>
      </c>
      <c r="F8" s="113">
        <f>F9+F12+F15+F16+F17</f>
        <v>13403897.312350001</v>
      </c>
      <c r="G8" s="113">
        <f t="shared" ref="G8:G35" si="0">F8-E8</f>
        <v>3503742.3123500012</v>
      </c>
      <c r="H8" s="115">
        <f t="shared" ref="H8:H36" si="1">F8/E8</f>
        <v>1.3539078239027571</v>
      </c>
    </row>
    <row r="9" spans="1:10" s="114" customFormat="1" ht="14.25">
      <c r="A9" s="57" t="s">
        <v>83</v>
      </c>
      <c r="B9" s="58" t="s">
        <v>334</v>
      </c>
      <c r="C9" s="110">
        <f>'13-DGThuNSNN2017'!D8</f>
        <v>9056335</v>
      </c>
      <c r="D9" s="110">
        <f>C9</f>
        <v>9056335</v>
      </c>
      <c r="E9" s="110">
        <f>'13-DGThuNSNN2017'!F8</f>
        <v>9106335</v>
      </c>
      <c r="F9" s="110">
        <f>'13-DGThuNSNN2017'!H8</f>
        <v>9801775.3123500012</v>
      </c>
      <c r="G9" s="110">
        <f t="shared" si="0"/>
        <v>695440.31235000119</v>
      </c>
      <c r="H9" s="116">
        <f t="shared" si="1"/>
        <v>1.0763688478789768</v>
      </c>
    </row>
    <row r="10" spans="1:10">
      <c r="A10" s="59">
        <v>1</v>
      </c>
      <c r="B10" s="60" t="s">
        <v>335</v>
      </c>
      <c r="C10" s="109">
        <f>'13-DGThuNSNN2017'!D85</f>
        <v>2099185</v>
      </c>
      <c r="D10" s="109">
        <f>C10</f>
        <v>2099185</v>
      </c>
      <c r="E10" s="109">
        <f>'13-DGThuNSNN2017'!F85</f>
        <v>2171085</v>
      </c>
      <c r="F10" s="109">
        <f>'13-DGThuNSNN2017'!H85</f>
        <v>3608545.3123500012</v>
      </c>
      <c r="G10" s="109">
        <f t="shared" si="0"/>
        <v>1437460.3123500012</v>
      </c>
      <c r="H10" s="117">
        <f t="shared" si="1"/>
        <v>1.6620930605434616</v>
      </c>
    </row>
    <row r="11" spans="1:10">
      <c r="A11" s="59">
        <v>2</v>
      </c>
      <c r="B11" s="60" t="s">
        <v>336</v>
      </c>
      <c r="C11" s="109">
        <f>+C9-C10</f>
        <v>6957150</v>
      </c>
      <c r="D11" s="109">
        <f>+D9-D10</f>
        <v>6957150</v>
      </c>
      <c r="E11" s="109">
        <f>+E9-E10</f>
        <v>6935250</v>
      </c>
      <c r="F11" s="109">
        <f>+F9-F10</f>
        <v>6193230</v>
      </c>
      <c r="G11" s="109">
        <f t="shared" si="0"/>
        <v>-742020</v>
      </c>
      <c r="H11" s="117">
        <f t="shared" si="1"/>
        <v>0.89300746187952851</v>
      </c>
    </row>
    <row r="12" spans="1:10" s="114" customFormat="1" ht="14.25">
      <c r="A12" s="57" t="s">
        <v>70</v>
      </c>
      <c r="B12" s="58" t="s">
        <v>337</v>
      </c>
      <c r="C12" s="110">
        <f>C13+C14</f>
        <v>580837</v>
      </c>
      <c r="D12" s="110">
        <f>D13+D14</f>
        <v>793820</v>
      </c>
      <c r="E12" s="110">
        <f>E13+E14</f>
        <v>793820</v>
      </c>
      <c r="F12" s="110">
        <f>F13+F14</f>
        <v>793820</v>
      </c>
      <c r="G12" s="110">
        <f t="shared" si="0"/>
        <v>0</v>
      </c>
      <c r="H12" s="116">
        <f t="shared" si="1"/>
        <v>1</v>
      </c>
    </row>
    <row r="13" spans="1:10">
      <c r="A13" s="59">
        <v>1</v>
      </c>
      <c r="B13" s="60" t="s">
        <v>234</v>
      </c>
      <c r="C13" s="109">
        <v>266017</v>
      </c>
      <c r="D13" s="109">
        <v>266017</v>
      </c>
      <c r="E13" s="109">
        <v>266017</v>
      </c>
      <c r="F13" s="109">
        <v>266017</v>
      </c>
      <c r="G13" s="109">
        <f t="shared" si="0"/>
        <v>0</v>
      </c>
      <c r="H13" s="117">
        <f t="shared" si="1"/>
        <v>1</v>
      </c>
    </row>
    <row r="14" spans="1:10">
      <c r="A14" s="59">
        <v>2</v>
      </c>
      <c r="B14" s="60" t="s">
        <v>88</v>
      </c>
      <c r="C14" s="109">
        <f>309920+4900</f>
        <v>314820</v>
      </c>
      <c r="D14" s="109">
        <v>527803</v>
      </c>
      <c r="E14" s="109">
        <f>D14</f>
        <v>527803</v>
      </c>
      <c r="F14" s="109">
        <f>E14</f>
        <v>527803</v>
      </c>
      <c r="G14" s="109">
        <f t="shared" si="0"/>
        <v>0</v>
      </c>
      <c r="H14" s="117">
        <f t="shared" si="1"/>
        <v>1</v>
      </c>
      <c r="J14" s="105">
        <f>+D14-C14</f>
        <v>212983</v>
      </c>
    </row>
    <row r="15" spans="1:10" s="114" customFormat="1" ht="14.25">
      <c r="A15" s="57" t="s">
        <v>73</v>
      </c>
      <c r="B15" s="58" t="s">
        <v>338</v>
      </c>
      <c r="C15" s="110"/>
      <c r="D15" s="110"/>
      <c r="E15" s="110"/>
      <c r="F15" s="110"/>
      <c r="G15" s="110">
        <f t="shared" si="0"/>
        <v>0</v>
      </c>
      <c r="H15" s="116"/>
    </row>
    <row r="16" spans="1:10" s="114" customFormat="1" ht="14.25">
      <c r="A16" s="57" t="s">
        <v>77</v>
      </c>
      <c r="B16" s="58" t="s">
        <v>287</v>
      </c>
      <c r="C16" s="110"/>
      <c r="D16" s="110"/>
      <c r="E16" s="110"/>
      <c r="F16" s="110">
        <v>39103</v>
      </c>
      <c r="G16" s="110">
        <f t="shared" si="0"/>
        <v>39103</v>
      </c>
      <c r="H16" s="116"/>
    </row>
    <row r="17" spans="1:8" s="114" customFormat="1" ht="14.25">
      <c r="A17" s="57" t="s">
        <v>113</v>
      </c>
      <c r="B17" s="58" t="s">
        <v>237</v>
      </c>
      <c r="C17" s="110"/>
      <c r="D17" s="110"/>
      <c r="E17" s="110"/>
      <c r="F17" s="110">
        <f>'46-CK NSNN'!D19</f>
        <v>2769199</v>
      </c>
      <c r="G17" s="110">
        <f t="shared" si="0"/>
        <v>2769199</v>
      </c>
      <c r="H17" s="116"/>
    </row>
    <row r="18" spans="1:8" s="114" customFormat="1" ht="14.25">
      <c r="A18" s="57" t="s">
        <v>16</v>
      </c>
      <c r="B18" s="58" t="s">
        <v>90</v>
      </c>
      <c r="C18" s="110">
        <f>C19+C26+C29</f>
        <v>9637172</v>
      </c>
      <c r="D18" s="110" t="e">
        <f>D19+D26+D29</f>
        <v>#REF!</v>
      </c>
      <c r="E18" s="110" t="e">
        <f>E19+E26+E29</f>
        <v>#REF!</v>
      </c>
      <c r="F18" s="110">
        <f>F19+F26+F29</f>
        <v>10974713.363262333</v>
      </c>
      <c r="G18" s="110" t="e">
        <f t="shared" si="0"/>
        <v>#REF!</v>
      </c>
      <c r="H18" s="116" t="e">
        <f t="shared" si="1"/>
        <v>#REF!</v>
      </c>
    </row>
    <row r="19" spans="1:8" s="114" customFormat="1" ht="14.25">
      <c r="A19" s="57" t="s">
        <v>83</v>
      </c>
      <c r="B19" s="58" t="s">
        <v>339</v>
      </c>
      <c r="C19" s="110">
        <f>C20+C21+C22+C23+C24+C25</f>
        <v>9322352</v>
      </c>
      <c r="D19" s="110">
        <f>D20+D21+D22+D23+D24+D25</f>
        <v>9322352</v>
      </c>
      <c r="E19" s="110">
        <f>E20+E21+E22+E23+E24+E25</f>
        <v>9249318</v>
      </c>
      <c r="F19" s="110">
        <f>F20+F21+F22+F23+F24+F25</f>
        <v>9950737.1872623339</v>
      </c>
      <c r="G19" s="110">
        <f t="shared" si="0"/>
        <v>701419.18726233393</v>
      </c>
      <c r="H19" s="116">
        <f t="shared" si="1"/>
        <v>1.075834692597047</v>
      </c>
    </row>
    <row r="20" spans="1:8">
      <c r="A20" s="59">
        <v>1</v>
      </c>
      <c r="B20" s="60" t="s">
        <v>340</v>
      </c>
      <c r="C20" s="109">
        <f>'14-DGChiNSDP2017'!C10</f>
        <v>2275790</v>
      </c>
      <c r="D20" s="109">
        <f>C20</f>
        <v>2275790</v>
      </c>
      <c r="E20" s="109">
        <f>'14-DGChiNSDP2017'!D10</f>
        <v>2194840</v>
      </c>
      <c r="F20" s="109">
        <f>'14-DGChiNSDP2017'!E15</f>
        <v>2988610.5812999997</v>
      </c>
      <c r="G20" s="109">
        <f t="shared" si="0"/>
        <v>793770.58129999973</v>
      </c>
      <c r="H20" s="117">
        <f t="shared" si="1"/>
        <v>1.3616530504729274</v>
      </c>
    </row>
    <row r="21" spans="1:8">
      <c r="A21" s="59">
        <v>2</v>
      </c>
      <c r="B21" s="60" t="s">
        <v>96</v>
      </c>
      <c r="C21" s="109">
        <f>'14-DGChiNSDP2017'!C25</f>
        <v>6861302</v>
      </c>
      <c r="D21" s="109">
        <f>'14-DGChiNSDP2017'!D25</f>
        <v>6861302</v>
      </c>
      <c r="E21" s="109">
        <f>'14-DGChiNSDP2017'!D25</f>
        <v>6861302</v>
      </c>
      <c r="F21" s="109">
        <f>+'14-DGChiNSDP2017'!E25</f>
        <v>6955083.6059623342</v>
      </c>
      <c r="G21" s="109">
        <f t="shared" si="0"/>
        <v>93781.605962334201</v>
      </c>
      <c r="H21" s="117">
        <f t="shared" si="1"/>
        <v>1.013668193873748</v>
      </c>
    </row>
    <row r="22" spans="1:8">
      <c r="A22" s="59">
        <v>3</v>
      </c>
      <c r="B22" s="60" t="s">
        <v>97</v>
      </c>
      <c r="C22" s="109"/>
      <c r="D22" s="109"/>
      <c r="E22" s="109">
        <f>'14-DGChiNSDP2017'!D43</f>
        <v>2916</v>
      </c>
      <c r="F22" s="109">
        <f>+'14-DGChiNSDP2017'!E43</f>
        <v>5783</v>
      </c>
      <c r="G22" s="109">
        <f t="shared" si="0"/>
        <v>2867</v>
      </c>
      <c r="H22" s="117">
        <f t="shared" si="1"/>
        <v>1.983196159122085</v>
      </c>
    </row>
    <row r="23" spans="1:8">
      <c r="A23" s="59">
        <v>4</v>
      </c>
      <c r="B23" s="60" t="s">
        <v>240</v>
      </c>
      <c r="C23" s="109">
        <v>1260</v>
      </c>
      <c r="D23" s="109">
        <v>1260</v>
      </c>
      <c r="E23" s="109">
        <f>'14-DGChiNSDP2017'!D44</f>
        <v>1260</v>
      </c>
      <c r="F23" s="109">
        <f>+'14-DGChiNSDP2017'!E44</f>
        <v>1260</v>
      </c>
      <c r="G23" s="109">
        <f t="shared" si="0"/>
        <v>0</v>
      </c>
      <c r="H23" s="117">
        <f t="shared" si="1"/>
        <v>1</v>
      </c>
    </row>
    <row r="24" spans="1:8">
      <c r="A24" s="59">
        <v>5</v>
      </c>
      <c r="B24" s="60" t="s">
        <v>241</v>
      </c>
      <c r="C24" s="109">
        <v>184000</v>
      </c>
      <c r="D24" s="109">
        <v>184000</v>
      </c>
      <c r="E24" s="109">
        <f>'14-DGChiNSDP2017'!D45</f>
        <v>189000</v>
      </c>
      <c r="F24" s="109">
        <f>+'14-DGChiNSDP2017'!E45</f>
        <v>0</v>
      </c>
      <c r="G24" s="109">
        <f t="shared" si="0"/>
        <v>-189000</v>
      </c>
      <c r="H24" s="117">
        <f t="shared" si="1"/>
        <v>0</v>
      </c>
    </row>
    <row r="25" spans="1:8">
      <c r="A25" s="59">
        <v>6</v>
      </c>
      <c r="B25" s="60" t="s">
        <v>98</v>
      </c>
      <c r="C25" s="109"/>
      <c r="D25" s="109"/>
      <c r="E25" s="109">
        <f>'14-DGChiNSDP2017'!D46</f>
        <v>0</v>
      </c>
      <c r="F25" s="109"/>
      <c r="G25" s="109">
        <f t="shared" si="0"/>
        <v>0</v>
      </c>
      <c r="H25" s="117"/>
    </row>
    <row r="26" spans="1:8" s="114" customFormat="1" ht="14.25">
      <c r="A26" s="57" t="s">
        <v>70</v>
      </c>
      <c r="B26" s="58" t="s">
        <v>242</v>
      </c>
      <c r="C26" s="110">
        <f>+C27+C28</f>
        <v>314820</v>
      </c>
      <c r="D26" s="110" t="e">
        <f>+D27+D28</f>
        <v>#REF!</v>
      </c>
      <c r="E26" s="110" t="e">
        <f>+E27+E28</f>
        <v>#REF!</v>
      </c>
      <c r="F26" s="110">
        <f>+F27+F28</f>
        <v>459616</v>
      </c>
      <c r="G26" s="110" t="e">
        <f t="shared" si="0"/>
        <v>#REF!</v>
      </c>
      <c r="H26" s="116" t="e">
        <f t="shared" si="1"/>
        <v>#REF!</v>
      </c>
    </row>
    <row r="27" spans="1:8">
      <c r="A27" s="59">
        <v>1</v>
      </c>
      <c r="B27" s="60" t="s">
        <v>243</v>
      </c>
      <c r="C27" s="109">
        <v>164222</v>
      </c>
      <c r="D27" s="109" t="e">
        <f>'14-DGChiNSDP2017'!D48</f>
        <v>#REF!</v>
      </c>
      <c r="E27" s="109" t="e">
        <f>'14-DGChiNSDP2017'!D48</f>
        <v>#REF!</v>
      </c>
      <c r="F27" s="109">
        <f>+'14-DGChiNSDP2017'!E48</f>
        <v>203194</v>
      </c>
      <c r="G27" s="109" t="e">
        <f t="shared" si="0"/>
        <v>#REF!</v>
      </c>
      <c r="H27" s="117" t="e">
        <f t="shared" si="1"/>
        <v>#REF!</v>
      </c>
    </row>
    <row r="28" spans="1:8">
      <c r="A28" s="59">
        <v>2</v>
      </c>
      <c r="B28" s="60" t="s">
        <v>244</v>
      </c>
      <c r="C28" s="109">
        <f>145698+4900</f>
        <v>150598</v>
      </c>
      <c r="D28" s="109" t="e">
        <f>'14-DGChiNSDP2017'!D51</f>
        <v>#REF!</v>
      </c>
      <c r="E28" s="109" t="e">
        <f>'14-DGChiNSDP2017'!D51</f>
        <v>#REF!</v>
      </c>
      <c r="F28" s="109">
        <f>+'14-DGChiNSDP2017'!E51</f>
        <v>256422</v>
      </c>
      <c r="G28" s="109" t="e">
        <f t="shared" si="0"/>
        <v>#REF!</v>
      </c>
      <c r="H28" s="117" t="e">
        <f t="shared" si="1"/>
        <v>#REF!</v>
      </c>
    </row>
    <row r="29" spans="1:8" s="114" customFormat="1" ht="14.25">
      <c r="A29" s="57" t="s">
        <v>73</v>
      </c>
      <c r="B29" s="58" t="s">
        <v>245</v>
      </c>
      <c r="C29" s="110"/>
      <c r="D29" s="110"/>
      <c r="E29" s="110"/>
      <c r="F29" s="110">
        <f>'46-CK NSNN'!D31</f>
        <v>564360.17599999998</v>
      </c>
      <c r="G29" s="110">
        <f t="shared" si="0"/>
        <v>564360.17599999998</v>
      </c>
      <c r="H29" s="116"/>
    </row>
    <row r="30" spans="1:8" s="114" customFormat="1" ht="14.25">
      <c r="A30" s="57" t="s">
        <v>79</v>
      </c>
      <c r="B30" s="58" t="s">
        <v>246</v>
      </c>
      <c r="C30" s="110">
        <f>C8-C18</f>
        <v>0</v>
      </c>
      <c r="D30" s="110" t="e">
        <f>D8-D18</f>
        <v>#REF!</v>
      </c>
      <c r="E30" s="110" t="e">
        <f>E8-E18</f>
        <v>#REF!</v>
      </c>
      <c r="F30" s="110"/>
      <c r="G30" s="110"/>
      <c r="H30" s="116" t="e">
        <f t="shared" si="1"/>
        <v>#REF!</v>
      </c>
    </row>
    <row r="31" spans="1:8" s="114" customFormat="1" ht="14.25">
      <c r="A31" s="57" t="s">
        <v>89</v>
      </c>
      <c r="B31" s="58" t="s">
        <v>341</v>
      </c>
      <c r="C31" s="110">
        <f>C32+C33</f>
        <v>0</v>
      </c>
      <c r="D31" s="110">
        <f>D32+D33</f>
        <v>0</v>
      </c>
      <c r="E31" s="110">
        <f>E32+E33</f>
        <v>123034</v>
      </c>
      <c r="F31" s="110">
        <f>F32+F33</f>
        <v>162137</v>
      </c>
      <c r="G31" s="110">
        <f t="shared" si="0"/>
        <v>39103</v>
      </c>
      <c r="H31" s="116">
        <f t="shared" si="1"/>
        <v>1.3178227156720907</v>
      </c>
    </row>
    <row r="32" spans="1:8" s="114" customFormat="1" ht="14.25">
      <c r="A32" s="57" t="s">
        <v>83</v>
      </c>
      <c r="B32" s="58" t="s">
        <v>108</v>
      </c>
      <c r="C32" s="110"/>
      <c r="D32" s="110"/>
      <c r="E32" s="110"/>
      <c r="F32" s="110"/>
      <c r="G32" s="110">
        <f t="shared" si="0"/>
        <v>0</v>
      </c>
      <c r="H32" s="116"/>
    </row>
    <row r="33" spans="1:8" s="114" customFormat="1" ht="28.5">
      <c r="A33" s="57" t="s">
        <v>70</v>
      </c>
      <c r="B33" s="58" t="s">
        <v>251</v>
      </c>
      <c r="C33" s="110"/>
      <c r="D33" s="110"/>
      <c r="E33" s="110">
        <v>123034</v>
      </c>
      <c r="F33" s="110">
        <f>'18-Boi chi'!C36+'18-Boi chi'!C37+'18-Boi chi'!C38</f>
        <v>162137</v>
      </c>
      <c r="G33" s="110">
        <f t="shared" si="0"/>
        <v>39103</v>
      </c>
      <c r="H33" s="116">
        <f t="shared" si="1"/>
        <v>1.3178227156720907</v>
      </c>
    </row>
    <row r="34" spans="1:8" s="114" customFormat="1" ht="14.25">
      <c r="A34" s="57" t="s">
        <v>99</v>
      </c>
      <c r="B34" s="58" t="s">
        <v>342</v>
      </c>
      <c r="C34" s="110">
        <f>C35+C36</f>
        <v>1470</v>
      </c>
      <c r="D34" s="110">
        <f>D35+D36</f>
        <v>1470</v>
      </c>
      <c r="E34" s="110">
        <f>E35+E36</f>
        <v>1470</v>
      </c>
      <c r="F34" s="110">
        <f>F35+F36</f>
        <v>823</v>
      </c>
      <c r="G34" s="110">
        <f t="shared" si="0"/>
        <v>-647</v>
      </c>
      <c r="H34" s="116">
        <f t="shared" si="1"/>
        <v>0.55986394557823127</v>
      </c>
    </row>
    <row r="35" spans="1:8" s="114" customFormat="1" ht="14.25">
      <c r="A35" s="57" t="s">
        <v>83</v>
      </c>
      <c r="B35" s="58" t="s">
        <v>872</v>
      </c>
      <c r="C35" s="110"/>
      <c r="D35" s="110"/>
      <c r="E35" s="110"/>
      <c r="F35" s="110"/>
      <c r="G35" s="110">
        <f t="shared" si="0"/>
        <v>0</v>
      </c>
      <c r="H35" s="116"/>
    </row>
    <row r="36" spans="1:8" s="114" customFormat="1" ht="14.25">
      <c r="A36" s="61" t="s">
        <v>70</v>
      </c>
      <c r="B36" s="62" t="s">
        <v>343</v>
      </c>
      <c r="C36" s="111">
        <v>1470</v>
      </c>
      <c r="D36" s="111">
        <v>1470</v>
      </c>
      <c r="E36" s="111">
        <v>1470</v>
      </c>
      <c r="F36" s="111">
        <f>'18-Boi chi'!C42</f>
        <v>823</v>
      </c>
      <c r="G36" s="111">
        <f>F36-E36</f>
        <v>-647</v>
      </c>
      <c r="H36" s="118">
        <f t="shared" si="1"/>
        <v>0.55986394557823127</v>
      </c>
    </row>
    <row r="37" spans="1:8" ht="43.5" customHeight="1">
      <c r="A37" s="726" t="s">
        <v>344</v>
      </c>
      <c r="B37" s="726"/>
      <c r="C37" s="726"/>
      <c r="D37" s="726"/>
      <c r="E37" s="726"/>
      <c r="F37" s="726"/>
      <c r="G37" s="726"/>
      <c r="H37" s="726"/>
    </row>
  </sheetData>
  <customSheetViews>
    <customSheetView guid="{9F606621-8853-4836-9A7E-DBA5CF152671}" state="hidden" topLeftCell="A4">
      <pane xSplit="2" ySplit="4" topLeftCell="D8" activePane="bottomRight" state="frozen"/>
      <selection pane="bottomRight" activeCell="E20" sqref="E20"/>
      <pageMargins left="0.7" right="0.7" top="0.75" bottom="0.75" header="0.3" footer="0.3"/>
      <pageSetup orientation="portrait" r:id="rId1"/>
    </customSheetView>
    <customSheetView guid="{DB9039ED-C6EA-422D-9A5D-D152D95EDC67}" showPageBreaks="1" hiddenColumns="1" topLeftCell="A9">
      <selection activeCell="H24" sqref="H24"/>
      <pageMargins left="0.9055118110236221" right="0.51181102362204722" top="0.74803149606299213" bottom="0.35433070866141736" header="0.31496062992125984" footer="0.31496062992125984"/>
      <printOptions horizontalCentered="1"/>
      <pageSetup paperSize="9" scale="88" orientation="portrait" r:id="rId2"/>
    </customSheetView>
  </customSheetViews>
  <mergeCells count="12">
    <mergeCell ref="A1:H1"/>
    <mergeCell ref="A2:H2"/>
    <mergeCell ref="A3:H3"/>
    <mergeCell ref="G4:H4"/>
    <mergeCell ref="A37:H37"/>
    <mergeCell ref="A5:A6"/>
    <mergeCell ref="B5:B6"/>
    <mergeCell ref="E5:E6"/>
    <mergeCell ref="F5:F6"/>
    <mergeCell ref="C5:C6"/>
    <mergeCell ref="G5:H5"/>
    <mergeCell ref="D5:D6"/>
  </mergeCell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dimension ref="A1:P86"/>
  <sheetViews>
    <sheetView zoomScale="75" workbookViewId="0">
      <pane xSplit="2" ySplit="7" topLeftCell="C29" activePane="bottomRight" state="frozen"/>
      <selection pane="topRight" activeCell="C1" sqref="C1"/>
      <selection pane="bottomLeft" activeCell="A8" sqref="A8"/>
      <selection pane="bottomRight" activeCell="G50" sqref="G50"/>
    </sheetView>
  </sheetViews>
  <sheetFormatPr defaultColWidth="9.140625" defaultRowHeight="16.5" customHeight="1"/>
  <cols>
    <col min="1" max="1" width="5.7109375" style="1" customWidth="1"/>
    <col min="2" max="2" width="49.5703125" style="1" customWidth="1"/>
    <col min="3" max="3" width="12" style="1" customWidth="1"/>
    <col min="4" max="4" width="10.5703125" style="1" customWidth="1"/>
    <col min="5" max="5" width="11.7109375" style="1" customWidth="1"/>
    <col min="6" max="6" width="10.5703125" style="1" customWidth="1"/>
    <col min="7" max="7" width="12.28515625" style="1" customWidth="1"/>
    <col min="8" max="10" width="10.5703125" style="1" customWidth="1"/>
    <col min="11" max="11" width="9.140625" style="1"/>
    <col min="12" max="12" width="10.7109375" style="1" customWidth="1"/>
    <col min="13" max="15" width="13.28515625" style="1" customWidth="1"/>
    <col min="16" max="16384" width="9.140625" style="1"/>
  </cols>
  <sheetData>
    <row r="1" spans="1:16" ht="16.5" customHeight="1">
      <c r="A1" s="706" t="s">
        <v>345</v>
      </c>
      <c r="B1" s="706"/>
      <c r="C1" s="706"/>
      <c r="D1" s="706"/>
      <c r="E1" s="706"/>
      <c r="F1" s="706"/>
      <c r="G1" s="706"/>
      <c r="H1" s="706"/>
      <c r="I1" s="706"/>
      <c r="J1" s="706"/>
      <c r="L1" s="124">
        <v>1</v>
      </c>
      <c r="M1" s="123" t="s">
        <v>880</v>
      </c>
      <c r="N1" s="182"/>
      <c r="O1" s="182"/>
    </row>
    <row r="2" spans="1:16" ht="43.15" customHeight="1">
      <c r="A2" s="718" t="s">
        <v>802</v>
      </c>
      <c r="B2" s="718"/>
      <c r="C2" s="718"/>
      <c r="D2" s="718"/>
      <c r="E2" s="718"/>
      <c r="F2" s="718"/>
      <c r="G2" s="718"/>
      <c r="H2" s="718"/>
      <c r="I2" s="718"/>
      <c r="J2" s="718"/>
    </row>
    <row r="3" spans="1:16" ht="16.5" customHeight="1">
      <c r="A3" s="707"/>
      <c r="B3" s="707"/>
      <c r="C3" s="707"/>
      <c r="D3" s="707"/>
      <c r="E3" s="707"/>
      <c r="F3" s="707"/>
      <c r="G3" s="707"/>
      <c r="H3" s="707"/>
      <c r="I3" s="707"/>
      <c r="J3" s="707"/>
      <c r="M3" s="105">
        <f>+M4-M8</f>
        <v>12493</v>
      </c>
      <c r="N3" s="1">
        <f>(3705+5799+2991)</f>
        <v>12495</v>
      </c>
    </row>
    <row r="4" spans="1:16" ht="16.5" customHeight="1">
      <c r="I4" s="708" t="s">
        <v>56</v>
      </c>
      <c r="J4" s="708"/>
      <c r="M4" s="108">
        <v>6926794</v>
      </c>
      <c r="N4" s="105">
        <f>+N5-N8</f>
        <v>382</v>
      </c>
      <c r="O4" s="105"/>
      <c r="P4" s="105"/>
    </row>
    <row r="5" spans="1:16" s="17" customFormat="1" ht="36.75" customHeight="1">
      <c r="A5" s="705" t="s">
        <v>3</v>
      </c>
      <c r="B5" s="705" t="s">
        <v>4</v>
      </c>
      <c r="C5" s="705" t="s">
        <v>870</v>
      </c>
      <c r="D5" s="705"/>
      <c r="E5" s="705" t="s">
        <v>879</v>
      </c>
      <c r="F5" s="705"/>
      <c r="G5" s="705" t="s">
        <v>797</v>
      </c>
      <c r="H5" s="705"/>
      <c r="I5" s="705" t="s">
        <v>346</v>
      </c>
      <c r="J5" s="705"/>
      <c r="L5" s="727" t="s">
        <v>1122</v>
      </c>
      <c r="M5" s="727"/>
      <c r="N5" s="105">
        <v>4691399</v>
      </c>
      <c r="O5" s="311"/>
    </row>
    <row r="6" spans="1:16" s="17" customFormat="1" ht="29.25" customHeight="1">
      <c r="A6" s="705"/>
      <c r="B6" s="705"/>
      <c r="C6" s="82" t="s">
        <v>347</v>
      </c>
      <c r="D6" s="82" t="s">
        <v>348</v>
      </c>
      <c r="E6" s="7" t="s">
        <v>347</v>
      </c>
      <c r="F6" s="7" t="s">
        <v>348</v>
      </c>
      <c r="G6" s="7" t="s">
        <v>347</v>
      </c>
      <c r="H6" s="7" t="s">
        <v>348</v>
      </c>
      <c r="I6" s="7" t="s">
        <v>347</v>
      </c>
      <c r="J6" s="7" t="s">
        <v>348</v>
      </c>
      <c r="L6" s="17" t="s">
        <v>892</v>
      </c>
      <c r="M6" s="17" t="s">
        <v>348</v>
      </c>
      <c r="N6" s="17" t="s">
        <v>977</v>
      </c>
      <c r="O6" s="17" t="s">
        <v>978</v>
      </c>
      <c r="P6" s="17" t="s">
        <v>1123</v>
      </c>
    </row>
    <row r="7" spans="1:16" ht="16.5" customHeight="1">
      <c r="A7" s="52" t="s">
        <v>15</v>
      </c>
      <c r="B7" s="7" t="s">
        <v>16</v>
      </c>
      <c r="C7" s="82"/>
      <c r="D7" s="82"/>
      <c r="E7" s="7">
        <v>1</v>
      </c>
      <c r="F7" s="7">
        <v>2</v>
      </c>
      <c r="G7" s="7">
        <v>3</v>
      </c>
      <c r="H7" s="7">
        <v>4</v>
      </c>
      <c r="I7" s="7" t="s">
        <v>349</v>
      </c>
      <c r="J7" s="7" t="s">
        <v>350</v>
      </c>
    </row>
    <row r="8" spans="1:16" s="114" customFormat="1" ht="16.5" customHeight="1">
      <c r="A8" s="55"/>
      <c r="B8" s="56" t="s">
        <v>351</v>
      </c>
      <c r="C8" s="113">
        <f t="shared" ref="C8:H8" si="0">C9+C69+C70+C77</f>
        <v>11355000</v>
      </c>
      <c r="D8" s="113">
        <f t="shared" si="0"/>
        <v>9056335</v>
      </c>
      <c r="E8" s="113">
        <f t="shared" si="0"/>
        <v>11405000</v>
      </c>
      <c r="F8" s="113">
        <f t="shared" si="0"/>
        <v>9106335</v>
      </c>
      <c r="G8" s="113">
        <f t="shared" si="0"/>
        <v>12135000</v>
      </c>
      <c r="H8" s="113">
        <f t="shared" si="0"/>
        <v>9801775.3123500012</v>
      </c>
      <c r="I8" s="125">
        <f>G8/E8</f>
        <v>1.0640070144673388</v>
      </c>
      <c r="J8" s="125">
        <f t="shared" ref="I8:J10" si="1">H8/F8</f>
        <v>1.0763688478789768</v>
      </c>
      <c r="L8" s="113">
        <f t="shared" ref="L8:M8" si="2">L9+L69+L70+L77</f>
        <v>7218394</v>
      </c>
      <c r="M8" s="113">
        <f t="shared" si="2"/>
        <v>6914301</v>
      </c>
      <c r="N8" s="113">
        <f t="shared" ref="N8:O8" si="3">N9+N69+N70+N77</f>
        <v>4691017</v>
      </c>
      <c r="O8" s="113">
        <f t="shared" si="3"/>
        <v>2223284</v>
      </c>
      <c r="P8" s="113">
        <f t="shared" ref="P8" si="4">P9+P69+P70+P77</f>
        <v>304093</v>
      </c>
    </row>
    <row r="9" spans="1:16" s="114" customFormat="1" ht="16.5" customHeight="1">
      <c r="A9" s="57" t="s">
        <v>83</v>
      </c>
      <c r="B9" s="58" t="s">
        <v>65</v>
      </c>
      <c r="C9" s="110">
        <f t="shared" ref="C9:H9" si="5">C12+C17+C22+C29+C35+C36+C39+C40+C46+C47+C48+C49+C50+C56+C59+C65+C66+C67+C68+C51</f>
        <v>9450000</v>
      </c>
      <c r="D9" s="110">
        <f t="shared" si="5"/>
        <v>9056335</v>
      </c>
      <c r="E9" s="110">
        <f t="shared" si="5"/>
        <v>9500000</v>
      </c>
      <c r="F9" s="110">
        <f t="shared" si="5"/>
        <v>9106335</v>
      </c>
      <c r="G9" s="110">
        <f t="shared" si="5"/>
        <v>10230000</v>
      </c>
      <c r="H9" s="110">
        <f t="shared" si="5"/>
        <v>9801775.3123500012</v>
      </c>
      <c r="I9" s="125">
        <f t="shared" si="1"/>
        <v>1.0768421052631578</v>
      </c>
      <c r="J9" s="125">
        <f t="shared" si="1"/>
        <v>1.0763688478789768</v>
      </c>
      <c r="L9" s="110">
        <f t="shared" ref="L9:M9" si="6">L12+L17+L22+L29+L35+L36+L39+L40+L46+L47+L48+L49+L50+L56+L59+L65+L66+L67+L68+L51</f>
        <v>7218394</v>
      </c>
      <c r="M9" s="110">
        <f t="shared" si="6"/>
        <v>6914301</v>
      </c>
      <c r="N9" s="110">
        <f t="shared" ref="N9:O9" si="7">N12+N17+N22+N29+N35+N36+N39+N40+N46+N47+N48+N49+N50+N56+N59+N65+N66+N67+N68+N51</f>
        <v>4691017</v>
      </c>
      <c r="O9" s="110">
        <f t="shared" si="7"/>
        <v>2223284</v>
      </c>
      <c r="P9" s="110">
        <f t="shared" ref="P9" si="8">P12+P17+P22+P29+P35+P36+P39+P40+P46+P47+P48+P49+P50+P56+P59+P65+P66+P67+P68+P51</f>
        <v>304093</v>
      </c>
    </row>
    <row r="10" spans="1:16" s="114" customFormat="1" ht="16.5" customHeight="1">
      <c r="A10" s="57"/>
      <c r="B10" s="58" t="s">
        <v>891</v>
      </c>
      <c r="C10" s="110">
        <f t="shared" ref="C10:H10" si="9">C9-C49-C51</f>
        <v>8130000</v>
      </c>
      <c r="D10" s="110">
        <f t="shared" si="9"/>
        <v>7736335</v>
      </c>
      <c r="E10" s="110">
        <f t="shared" si="9"/>
        <v>8130000</v>
      </c>
      <c r="F10" s="110">
        <f t="shared" si="9"/>
        <v>7736335</v>
      </c>
      <c r="G10" s="110">
        <f t="shared" si="9"/>
        <v>7930000</v>
      </c>
      <c r="H10" s="110">
        <f t="shared" si="9"/>
        <v>7501775.3123500012</v>
      </c>
      <c r="I10" s="125">
        <f t="shared" si="1"/>
        <v>0.97539975399753998</v>
      </c>
      <c r="J10" s="125">
        <f t="shared" si="1"/>
        <v>0.96968077421026899</v>
      </c>
      <c r="L10" s="110">
        <f t="shared" ref="L10:M10" si="10">L9-L49-L51</f>
        <v>5296368</v>
      </c>
      <c r="M10" s="110">
        <f t="shared" si="10"/>
        <v>4992275</v>
      </c>
      <c r="N10" s="110">
        <f t="shared" ref="N10:O10" si="11">N9-N49-N51</f>
        <v>3618807</v>
      </c>
      <c r="O10" s="110">
        <f t="shared" si="11"/>
        <v>1373468</v>
      </c>
      <c r="P10" s="110">
        <f t="shared" ref="P10" si="12">P9-P49-P51</f>
        <v>304093</v>
      </c>
    </row>
    <row r="11" spans="1:16" s="114" customFormat="1" ht="16.5" customHeight="1">
      <c r="A11" s="57"/>
      <c r="B11" s="58" t="s">
        <v>1124</v>
      </c>
      <c r="C11" s="110"/>
      <c r="D11" s="110"/>
      <c r="E11" s="110"/>
      <c r="F11" s="110"/>
      <c r="G11" s="110"/>
      <c r="H11" s="110"/>
      <c r="I11" s="125"/>
      <c r="J11" s="125"/>
      <c r="L11" s="110">
        <f>L10-L64</f>
        <v>5202656</v>
      </c>
      <c r="M11" s="110">
        <f t="shared" ref="M11:P11" si="13">M10-M64</f>
        <v>4900834</v>
      </c>
      <c r="N11" s="110">
        <f t="shared" si="13"/>
        <v>3537579</v>
      </c>
      <c r="O11" s="110">
        <f t="shared" si="13"/>
        <v>1363255</v>
      </c>
      <c r="P11" s="110">
        <f t="shared" si="13"/>
        <v>301822</v>
      </c>
    </row>
    <row r="12" spans="1:16" ht="16.5" customHeight="1">
      <c r="A12" s="59">
        <v>1</v>
      </c>
      <c r="B12" s="60" t="s">
        <v>932</v>
      </c>
      <c r="C12" s="108">
        <f t="shared" ref="C12:H12" si="14">SUM(C13:C16)</f>
        <v>420000</v>
      </c>
      <c r="D12" s="108">
        <f t="shared" si="14"/>
        <v>420000</v>
      </c>
      <c r="E12" s="108">
        <f t="shared" si="14"/>
        <v>420000</v>
      </c>
      <c r="F12" s="108">
        <f t="shared" si="14"/>
        <v>420000</v>
      </c>
      <c r="G12" s="108">
        <f t="shared" si="14"/>
        <v>438000</v>
      </c>
      <c r="H12" s="108">
        <f t="shared" si="14"/>
        <v>438000</v>
      </c>
      <c r="I12" s="126">
        <f t="shared" ref="I12:I70" si="15">G12/E12</f>
        <v>1.0428571428571429</v>
      </c>
      <c r="J12" s="126">
        <f t="shared" ref="J12:J66" si="16">H12/F12</f>
        <v>1.0428571428571429</v>
      </c>
      <c r="L12" s="108">
        <f t="shared" ref="L12:M12" si="17">SUM(L13:L16)</f>
        <v>0</v>
      </c>
      <c r="M12" s="108">
        <f t="shared" si="17"/>
        <v>0</v>
      </c>
      <c r="N12" s="108">
        <f t="shared" ref="N12:O12" si="18">SUM(N13:N16)</f>
        <v>0</v>
      </c>
      <c r="O12" s="108">
        <f t="shared" si="18"/>
        <v>0</v>
      </c>
      <c r="P12" s="108">
        <f t="shared" ref="P12" si="19">SUM(P13:P16)</f>
        <v>0</v>
      </c>
    </row>
    <row r="13" spans="1:16" s="121" customFormat="1" ht="16.5" customHeight="1">
      <c r="A13" s="119" t="s">
        <v>803</v>
      </c>
      <c r="B13" s="120" t="s">
        <v>629</v>
      </c>
      <c r="C13" s="122">
        <v>233000</v>
      </c>
      <c r="D13" s="122">
        <f>C13*$L$1</f>
        <v>233000</v>
      </c>
      <c r="E13" s="122">
        <v>233000</v>
      </c>
      <c r="F13" s="122">
        <f>E13*$L$1</f>
        <v>233000</v>
      </c>
      <c r="G13" s="122">
        <v>200000</v>
      </c>
      <c r="H13" s="122">
        <f>G13*$L$1</f>
        <v>200000</v>
      </c>
      <c r="I13" s="126">
        <f t="shared" si="15"/>
        <v>0.85836909871244638</v>
      </c>
      <c r="J13" s="126">
        <f t="shared" si="16"/>
        <v>0.85836909871244638</v>
      </c>
      <c r="L13" s="305"/>
      <c r="M13" s="305"/>
      <c r="N13" s="305"/>
      <c r="O13" s="305"/>
    </row>
    <row r="14" spans="1:16" s="121" customFormat="1" ht="16.5" customHeight="1">
      <c r="A14" s="119" t="s">
        <v>804</v>
      </c>
      <c r="B14" s="120" t="s">
        <v>630</v>
      </c>
      <c r="C14" s="122">
        <v>48000</v>
      </c>
      <c r="D14" s="122">
        <f>C14*$L$1</f>
        <v>48000</v>
      </c>
      <c r="E14" s="122">
        <v>48000</v>
      </c>
      <c r="F14" s="122">
        <f>E14*$L$1</f>
        <v>48000</v>
      </c>
      <c r="G14" s="122">
        <v>111750</v>
      </c>
      <c r="H14" s="122">
        <f>G14*$L$1</f>
        <v>111750</v>
      </c>
      <c r="I14" s="126">
        <f t="shared" si="15"/>
        <v>2.328125</v>
      </c>
      <c r="J14" s="126">
        <f t="shared" si="16"/>
        <v>2.328125</v>
      </c>
      <c r="L14" s="305"/>
      <c r="M14" s="305"/>
      <c r="N14" s="305"/>
      <c r="O14" s="305"/>
    </row>
    <row r="15" spans="1:16" s="121" customFormat="1" ht="16.5" customHeight="1">
      <c r="A15" s="119" t="s">
        <v>805</v>
      </c>
      <c r="B15" s="120" t="s">
        <v>873</v>
      </c>
      <c r="C15" s="122">
        <v>139000</v>
      </c>
      <c r="D15" s="122">
        <f>C15*$L$1</f>
        <v>139000</v>
      </c>
      <c r="E15" s="122">
        <v>139000</v>
      </c>
      <c r="F15" s="122">
        <f>E15*$L$1</f>
        <v>139000</v>
      </c>
      <c r="G15" s="122">
        <v>126000</v>
      </c>
      <c r="H15" s="122">
        <f>G15*$L$1</f>
        <v>126000</v>
      </c>
      <c r="I15" s="126">
        <f t="shared" si="15"/>
        <v>0.90647482014388492</v>
      </c>
      <c r="J15" s="126">
        <f t="shared" si="16"/>
        <v>0.90647482014388492</v>
      </c>
      <c r="L15" s="305"/>
      <c r="M15" s="305"/>
      <c r="N15" s="305"/>
      <c r="O15" s="305"/>
    </row>
    <row r="16" spans="1:16" s="121" customFormat="1" ht="16.5" customHeight="1">
      <c r="A16" s="119" t="s">
        <v>806</v>
      </c>
      <c r="B16" s="120" t="s">
        <v>874</v>
      </c>
      <c r="C16" s="122"/>
      <c r="D16" s="122"/>
      <c r="E16" s="122"/>
      <c r="F16" s="122"/>
      <c r="G16" s="122">
        <v>250</v>
      </c>
      <c r="H16" s="122">
        <f>+G16</f>
        <v>250</v>
      </c>
      <c r="I16" s="126"/>
      <c r="J16" s="126"/>
      <c r="L16" s="305"/>
      <c r="M16" s="305"/>
      <c r="N16" s="305"/>
      <c r="O16" s="305"/>
    </row>
    <row r="17" spans="1:16" ht="18.600000000000001" customHeight="1">
      <c r="A17" s="59">
        <v>2</v>
      </c>
      <c r="B17" s="60" t="s">
        <v>1273</v>
      </c>
      <c r="C17" s="108">
        <f t="shared" ref="C17:H17" si="20">SUM(C18:C21)</f>
        <v>105000</v>
      </c>
      <c r="D17" s="108">
        <f t="shared" si="20"/>
        <v>105000</v>
      </c>
      <c r="E17" s="108">
        <f t="shared" si="20"/>
        <v>105000</v>
      </c>
      <c r="F17" s="108">
        <f t="shared" si="20"/>
        <v>105000</v>
      </c>
      <c r="G17" s="108">
        <f t="shared" si="20"/>
        <v>130000</v>
      </c>
      <c r="H17" s="108">
        <f t="shared" si="20"/>
        <v>130000</v>
      </c>
      <c r="I17" s="126">
        <f t="shared" si="15"/>
        <v>1.2380952380952381</v>
      </c>
      <c r="J17" s="126">
        <f t="shared" si="16"/>
        <v>1.2380952380952381</v>
      </c>
      <c r="L17" s="108">
        <f t="shared" ref="L17:P17" si="21">SUM(L18:L21)</f>
        <v>430448</v>
      </c>
      <c r="M17" s="108">
        <f t="shared" si="21"/>
        <v>430448</v>
      </c>
      <c r="N17" s="108">
        <f t="shared" si="21"/>
        <v>405206</v>
      </c>
      <c r="O17" s="108">
        <f t="shared" si="21"/>
        <v>25242</v>
      </c>
      <c r="P17" s="108">
        <f t="shared" si="21"/>
        <v>0</v>
      </c>
    </row>
    <row r="18" spans="1:16" s="121" customFormat="1" ht="16.5" customHeight="1">
      <c r="A18" s="119" t="s">
        <v>807</v>
      </c>
      <c r="B18" s="120" t="s">
        <v>629</v>
      </c>
      <c r="C18" s="122">
        <v>60550</v>
      </c>
      <c r="D18" s="122">
        <f>C18*$L$1</f>
        <v>60550</v>
      </c>
      <c r="E18" s="122">
        <v>60550</v>
      </c>
      <c r="F18" s="122">
        <f>E18*$L$1</f>
        <v>60550</v>
      </c>
      <c r="G18" s="122">
        <v>72950</v>
      </c>
      <c r="H18" s="122">
        <f>G18*$L$1</f>
        <v>72950</v>
      </c>
      <c r="I18" s="126">
        <f t="shared" si="15"/>
        <v>1.2047894302229563</v>
      </c>
      <c r="J18" s="126">
        <f t="shared" si="16"/>
        <v>1.2047894302229563</v>
      </c>
      <c r="L18" s="305">
        <v>217173</v>
      </c>
      <c r="M18" s="305">
        <v>217173</v>
      </c>
      <c r="N18" s="305">
        <v>205262</v>
      </c>
      <c r="O18" s="305">
        <f>M18-N18</f>
        <v>11911</v>
      </c>
      <c r="P18" s="305">
        <f>L18-M18</f>
        <v>0</v>
      </c>
    </row>
    <row r="19" spans="1:16" s="121" customFormat="1" ht="16.5" customHeight="1">
      <c r="A19" s="119" t="s">
        <v>808</v>
      </c>
      <c r="B19" s="120" t="s">
        <v>630</v>
      </c>
      <c r="C19" s="122">
        <v>40000</v>
      </c>
      <c r="D19" s="122">
        <f>C19*$L$1</f>
        <v>40000</v>
      </c>
      <c r="E19" s="122">
        <v>40000</v>
      </c>
      <c r="F19" s="122">
        <f>E19*$L$1</f>
        <v>40000</v>
      </c>
      <c r="G19" s="122">
        <v>51000</v>
      </c>
      <c r="H19" s="122">
        <f>G19*$L$1</f>
        <v>51000</v>
      </c>
      <c r="I19" s="126">
        <f t="shared" si="15"/>
        <v>1.2749999999999999</v>
      </c>
      <c r="J19" s="126">
        <f t="shared" si="16"/>
        <v>1.2749999999999999</v>
      </c>
      <c r="L19" s="305">
        <f>112734+2105</f>
        <v>114839</v>
      </c>
      <c r="M19" s="305">
        <f>112734+2105</f>
        <v>114839</v>
      </c>
      <c r="N19" s="305">
        <f>101507+2105</f>
        <v>103612</v>
      </c>
      <c r="O19" s="305">
        <f t="shared" ref="O19:O68" si="22">M19-N19</f>
        <v>11227</v>
      </c>
      <c r="P19" s="305">
        <f t="shared" ref="P19:P68" si="23">L19-M19</f>
        <v>0</v>
      </c>
    </row>
    <row r="20" spans="1:16" s="121" customFormat="1" ht="16.5" customHeight="1">
      <c r="A20" s="119" t="s">
        <v>809</v>
      </c>
      <c r="B20" s="120" t="s">
        <v>874</v>
      </c>
      <c r="C20" s="122">
        <v>4450</v>
      </c>
      <c r="D20" s="122">
        <f>+C20</f>
        <v>4450</v>
      </c>
      <c r="E20" s="122">
        <v>4450</v>
      </c>
      <c r="F20" s="122">
        <f>+E20</f>
        <v>4450</v>
      </c>
      <c r="G20" s="122">
        <v>6000</v>
      </c>
      <c r="H20" s="122">
        <f>+G20</f>
        <v>6000</v>
      </c>
      <c r="I20" s="126">
        <f t="shared" si="15"/>
        <v>1.348314606741573</v>
      </c>
      <c r="J20" s="126">
        <f t="shared" si="16"/>
        <v>1.348314606741573</v>
      </c>
      <c r="L20" s="305">
        <v>5246</v>
      </c>
      <c r="M20" s="305">
        <v>5246</v>
      </c>
      <c r="N20" s="305">
        <v>3142</v>
      </c>
      <c r="O20" s="305">
        <f t="shared" si="22"/>
        <v>2104</v>
      </c>
      <c r="P20" s="305">
        <f t="shared" si="23"/>
        <v>0</v>
      </c>
    </row>
    <row r="21" spans="1:16" s="121" customFormat="1" ht="16.5" customHeight="1">
      <c r="A21" s="119" t="s">
        <v>810</v>
      </c>
      <c r="B21" s="120" t="s">
        <v>873</v>
      </c>
      <c r="C21" s="122"/>
      <c r="D21" s="122"/>
      <c r="E21" s="122"/>
      <c r="F21" s="122"/>
      <c r="G21" s="122">
        <v>50</v>
      </c>
      <c r="H21" s="122">
        <f>+G21</f>
        <v>50</v>
      </c>
      <c r="I21" s="126"/>
      <c r="J21" s="126"/>
      <c r="L21" s="305">
        <v>93190</v>
      </c>
      <c r="M21" s="305">
        <v>93190</v>
      </c>
      <c r="N21" s="305">
        <v>93190</v>
      </c>
      <c r="O21" s="305">
        <f t="shared" si="22"/>
        <v>0</v>
      </c>
      <c r="P21" s="305">
        <f t="shared" si="23"/>
        <v>0</v>
      </c>
    </row>
    <row r="22" spans="1:16" ht="34.15" customHeight="1">
      <c r="A22" s="59">
        <v>3</v>
      </c>
      <c r="B22" s="60" t="s">
        <v>1274</v>
      </c>
      <c r="C22" s="108">
        <f t="shared" ref="C22:H22" si="24">SUM(C23:C28)</f>
        <v>2195800</v>
      </c>
      <c r="D22" s="108">
        <f t="shared" si="24"/>
        <v>2195800</v>
      </c>
      <c r="E22" s="108">
        <f t="shared" si="24"/>
        <v>2195800</v>
      </c>
      <c r="F22" s="108">
        <f t="shared" si="24"/>
        <v>2195800</v>
      </c>
      <c r="G22" s="108">
        <f t="shared" si="24"/>
        <v>1784000</v>
      </c>
      <c r="H22" s="108">
        <f t="shared" si="24"/>
        <v>1784000</v>
      </c>
      <c r="I22" s="126">
        <f t="shared" si="15"/>
        <v>0.81246015119774118</v>
      </c>
      <c r="J22" s="126">
        <f t="shared" si="16"/>
        <v>0.81246015119774118</v>
      </c>
      <c r="L22" s="108">
        <f t="shared" ref="L22:P22" si="25">SUM(L23:L28)</f>
        <v>940709</v>
      </c>
      <c r="M22" s="108">
        <f t="shared" si="25"/>
        <v>940709</v>
      </c>
      <c r="N22" s="108">
        <f t="shared" si="25"/>
        <v>939787</v>
      </c>
      <c r="O22" s="108">
        <f t="shared" si="25"/>
        <v>922</v>
      </c>
      <c r="P22" s="108">
        <f t="shared" si="25"/>
        <v>0</v>
      </c>
    </row>
    <row r="23" spans="1:16" s="121" customFormat="1" ht="16.5" customHeight="1">
      <c r="A23" s="119" t="s">
        <v>811</v>
      </c>
      <c r="B23" s="120" t="s">
        <v>629</v>
      </c>
      <c r="C23" s="122">
        <v>839800</v>
      </c>
      <c r="D23" s="122">
        <f>C23*$L$1</f>
        <v>839800</v>
      </c>
      <c r="E23" s="122">
        <v>839800</v>
      </c>
      <c r="F23" s="122">
        <f>E23*$L$1</f>
        <v>839800</v>
      </c>
      <c r="G23" s="122">
        <v>606000</v>
      </c>
      <c r="H23" s="122">
        <f>G23*$L$1</f>
        <v>606000</v>
      </c>
      <c r="I23" s="127">
        <f t="shared" si="15"/>
        <v>0.72160038104310553</v>
      </c>
      <c r="J23" s="127">
        <f t="shared" si="16"/>
        <v>0.72160038104310553</v>
      </c>
      <c r="L23" s="305">
        <v>253100</v>
      </c>
      <c r="M23" s="305">
        <v>253100</v>
      </c>
      <c r="N23" s="305">
        <v>252178</v>
      </c>
      <c r="O23" s="305">
        <f t="shared" si="22"/>
        <v>922</v>
      </c>
      <c r="P23" s="305">
        <f t="shared" si="23"/>
        <v>0</v>
      </c>
    </row>
    <row r="24" spans="1:16" s="121" customFormat="1" ht="16.5" customHeight="1">
      <c r="A24" s="119" t="s">
        <v>812</v>
      </c>
      <c r="B24" s="120" t="s">
        <v>630</v>
      </c>
      <c r="C24" s="122">
        <v>1100000</v>
      </c>
      <c r="D24" s="122">
        <f>C24*$L$1</f>
        <v>1100000</v>
      </c>
      <c r="E24" s="122">
        <v>1100000</v>
      </c>
      <c r="F24" s="122">
        <f>E24*$L$1</f>
        <v>1100000</v>
      </c>
      <c r="G24" s="122">
        <v>950000</v>
      </c>
      <c r="H24" s="122">
        <f>G24*$L$1</f>
        <v>950000</v>
      </c>
      <c r="I24" s="127">
        <f t="shared" si="15"/>
        <v>0.86363636363636365</v>
      </c>
      <c r="J24" s="127">
        <f t="shared" si="16"/>
        <v>0.86363636363636365</v>
      </c>
      <c r="L24" s="305">
        <v>549945</v>
      </c>
      <c r="M24" s="305">
        <v>549945</v>
      </c>
      <c r="N24" s="305">
        <v>549945</v>
      </c>
      <c r="O24" s="305">
        <f t="shared" si="22"/>
        <v>0</v>
      </c>
      <c r="P24" s="305">
        <f t="shared" si="23"/>
        <v>0</v>
      </c>
    </row>
    <row r="25" spans="1:16" s="121" customFormat="1" ht="16.5" customHeight="1">
      <c r="A25" s="119" t="s">
        <v>813</v>
      </c>
      <c r="B25" s="120" t="s">
        <v>873</v>
      </c>
      <c r="C25" s="122">
        <v>225000</v>
      </c>
      <c r="D25" s="122">
        <f>C25*$L$1</f>
        <v>225000</v>
      </c>
      <c r="E25" s="122">
        <v>225000</v>
      </c>
      <c r="F25" s="122">
        <f>E25*$L$1</f>
        <v>225000</v>
      </c>
      <c r="G25" s="122">
        <v>180000</v>
      </c>
      <c r="H25" s="122">
        <f>G25*$L$1</f>
        <v>180000</v>
      </c>
      <c r="I25" s="127">
        <f t="shared" si="15"/>
        <v>0.8</v>
      </c>
      <c r="J25" s="127">
        <f t="shared" si="16"/>
        <v>0.8</v>
      </c>
      <c r="L25" s="305">
        <v>100493</v>
      </c>
      <c r="M25" s="305">
        <v>100493</v>
      </c>
      <c r="N25" s="305">
        <v>100493</v>
      </c>
      <c r="O25" s="305">
        <f t="shared" si="22"/>
        <v>0</v>
      </c>
      <c r="P25" s="305">
        <f t="shared" si="23"/>
        <v>0</v>
      </c>
    </row>
    <row r="26" spans="1:16" s="121" customFormat="1" ht="16.5" customHeight="1">
      <c r="A26" s="119" t="s">
        <v>814</v>
      </c>
      <c r="B26" s="120" t="s">
        <v>874</v>
      </c>
      <c r="C26" s="122">
        <v>21000</v>
      </c>
      <c r="D26" s="122">
        <f>+C26</f>
        <v>21000</v>
      </c>
      <c r="E26" s="122">
        <v>21000</v>
      </c>
      <c r="F26" s="122">
        <f>+E26</f>
        <v>21000</v>
      </c>
      <c r="G26" s="122">
        <v>23000</v>
      </c>
      <c r="H26" s="122">
        <f>+G26</f>
        <v>23000</v>
      </c>
      <c r="I26" s="127">
        <f t="shared" si="15"/>
        <v>1.0952380952380953</v>
      </c>
      <c r="J26" s="127">
        <f t="shared" si="16"/>
        <v>1.0952380952380953</v>
      </c>
      <c r="L26" s="305">
        <v>12219</v>
      </c>
      <c r="M26" s="305">
        <v>12219</v>
      </c>
      <c r="N26" s="305">
        <v>12219</v>
      </c>
      <c r="O26" s="305">
        <f t="shared" si="22"/>
        <v>0</v>
      </c>
      <c r="P26" s="305">
        <f t="shared" si="23"/>
        <v>0</v>
      </c>
    </row>
    <row r="27" spans="1:16" s="121" customFormat="1" ht="16.5" customHeight="1">
      <c r="A27" s="119" t="s">
        <v>875</v>
      </c>
      <c r="B27" s="120" t="s">
        <v>877</v>
      </c>
      <c r="C27" s="122">
        <v>10000</v>
      </c>
      <c r="D27" s="122">
        <f>+C27</f>
        <v>10000</v>
      </c>
      <c r="E27" s="122">
        <v>10000</v>
      </c>
      <c r="F27" s="122">
        <f>+E27</f>
        <v>10000</v>
      </c>
      <c r="G27" s="122">
        <v>25000</v>
      </c>
      <c r="H27" s="122">
        <f>+G27</f>
        <v>25000</v>
      </c>
      <c r="I27" s="127">
        <f t="shared" si="15"/>
        <v>2.5</v>
      </c>
      <c r="J27" s="127">
        <f t="shared" si="16"/>
        <v>2.5</v>
      </c>
      <c r="L27" s="305">
        <v>24952</v>
      </c>
      <c r="M27" s="305">
        <v>24952</v>
      </c>
      <c r="N27" s="305">
        <v>24952</v>
      </c>
      <c r="O27" s="305">
        <f t="shared" si="22"/>
        <v>0</v>
      </c>
      <c r="P27" s="305">
        <f t="shared" si="23"/>
        <v>0</v>
      </c>
    </row>
    <row r="28" spans="1:16" s="121" customFormat="1" ht="16.5" customHeight="1">
      <c r="A28" s="119" t="s">
        <v>876</v>
      </c>
      <c r="B28" s="120"/>
      <c r="C28" s="122"/>
      <c r="D28" s="122"/>
      <c r="E28" s="122"/>
      <c r="F28" s="122"/>
      <c r="G28" s="122"/>
      <c r="H28" s="122"/>
      <c r="I28" s="127"/>
      <c r="J28" s="127"/>
      <c r="L28" s="305"/>
      <c r="M28" s="305"/>
      <c r="N28" s="305"/>
      <c r="O28" s="305">
        <f t="shared" si="22"/>
        <v>0</v>
      </c>
      <c r="P28" s="305">
        <f t="shared" si="23"/>
        <v>0</v>
      </c>
    </row>
    <row r="29" spans="1:16" ht="16.5" customHeight="1">
      <c r="A29" s="59">
        <v>4</v>
      </c>
      <c r="B29" s="60" t="s">
        <v>1275</v>
      </c>
      <c r="C29" s="108">
        <f t="shared" ref="C29:H29" si="26">SUM(C30:C34)</f>
        <v>3123000</v>
      </c>
      <c r="D29" s="108">
        <f t="shared" si="26"/>
        <v>3123000</v>
      </c>
      <c r="E29" s="108">
        <f t="shared" si="26"/>
        <v>3101100</v>
      </c>
      <c r="F29" s="108">
        <f t="shared" si="26"/>
        <v>3101100</v>
      </c>
      <c r="G29" s="108">
        <f t="shared" si="26"/>
        <v>2547550</v>
      </c>
      <c r="H29" s="108">
        <f t="shared" si="26"/>
        <v>2546730</v>
      </c>
      <c r="I29" s="126">
        <f t="shared" si="15"/>
        <v>0.82149882299829091</v>
      </c>
      <c r="J29" s="126">
        <f t="shared" si="16"/>
        <v>0.82123440069652709</v>
      </c>
      <c r="L29" s="108">
        <f t="shared" ref="L29:P29" si="27">SUM(L30:L34)</f>
        <v>1600848</v>
      </c>
      <c r="M29" s="108">
        <f t="shared" si="27"/>
        <v>1600028</v>
      </c>
      <c r="N29" s="108">
        <f t="shared" si="27"/>
        <v>1003046</v>
      </c>
      <c r="O29" s="108">
        <f t="shared" si="27"/>
        <v>596982</v>
      </c>
      <c r="P29" s="108">
        <f t="shared" si="27"/>
        <v>820</v>
      </c>
    </row>
    <row r="30" spans="1:16" ht="16.5" customHeight="1">
      <c r="A30" s="59" t="s">
        <v>815</v>
      </c>
      <c r="B30" s="120" t="s">
        <v>629</v>
      </c>
      <c r="C30" s="122">
        <v>2180000</v>
      </c>
      <c r="D30" s="122">
        <f>C30*$L$1</f>
        <v>2180000</v>
      </c>
      <c r="E30" s="122">
        <v>2163100</v>
      </c>
      <c r="F30" s="122">
        <f>E30*$L$1</f>
        <v>2163100</v>
      </c>
      <c r="G30" s="122">
        <v>1554500</v>
      </c>
      <c r="H30" s="122">
        <f>G30*$L$1</f>
        <v>1554500</v>
      </c>
      <c r="I30" s="126">
        <f t="shared" si="15"/>
        <v>0.71864453793167216</v>
      </c>
      <c r="J30" s="126">
        <f t="shared" si="16"/>
        <v>0.71864453793167216</v>
      </c>
      <c r="L30" s="305">
        <v>1025089</v>
      </c>
      <c r="M30" s="305">
        <v>1025089</v>
      </c>
      <c r="N30" s="305">
        <v>553364</v>
      </c>
      <c r="O30" s="305">
        <f t="shared" si="22"/>
        <v>471725</v>
      </c>
      <c r="P30" s="305">
        <f t="shared" si="23"/>
        <v>0</v>
      </c>
    </row>
    <row r="31" spans="1:16" ht="16.5" customHeight="1">
      <c r="A31" s="59" t="s">
        <v>816</v>
      </c>
      <c r="B31" s="120" t="s">
        <v>630</v>
      </c>
      <c r="C31" s="122">
        <v>920000</v>
      </c>
      <c r="D31" s="122">
        <f>C31*$L$1</f>
        <v>920000</v>
      </c>
      <c r="E31" s="122">
        <v>915000</v>
      </c>
      <c r="F31" s="122">
        <f>E31*$L$1</f>
        <v>915000</v>
      </c>
      <c r="G31" s="122">
        <v>965550</v>
      </c>
      <c r="H31" s="122">
        <f>G31*$L$1</f>
        <v>965550</v>
      </c>
      <c r="I31" s="126">
        <f t="shared" si="15"/>
        <v>1.0552459016393443</v>
      </c>
      <c r="J31" s="126">
        <f t="shared" si="16"/>
        <v>1.0552459016393443</v>
      </c>
      <c r="L31" s="305">
        <v>558534</v>
      </c>
      <c r="M31" s="305">
        <v>558534</v>
      </c>
      <c r="N31" s="305">
        <v>438892</v>
      </c>
      <c r="O31" s="305">
        <f t="shared" si="22"/>
        <v>119642</v>
      </c>
      <c r="P31" s="305">
        <f t="shared" si="23"/>
        <v>0</v>
      </c>
    </row>
    <row r="32" spans="1:16" ht="16.5" customHeight="1">
      <c r="A32" s="59" t="s">
        <v>817</v>
      </c>
      <c r="B32" s="120" t="s">
        <v>873</v>
      </c>
      <c r="C32" s="122">
        <v>15500</v>
      </c>
      <c r="D32" s="122">
        <f>C32*$L$1</f>
        <v>15500</v>
      </c>
      <c r="E32" s="122">
        <v>15500</v>
      </c>
      <c r="F32" s="122">
        <f>E32*$L$1</f>
        <v>15500</v>
      </c>
      <c r="G32" s="122">
        <v>20000</v>
      </c>
      <c r="H32" s="122">
        <f>G32*$L$1-(L32-M32)</f>
        <v>19180</v>
      </c>
      <c r="I32" s="126">
        <f t="shared" si="15"/>
        <v>1.2903225806451613</v>
      </c>
      <c r="J32" s="126">
        <f t="shared" si="16"/>
        <v>1.2374193548387096</v>
      </c>
      <c r="L32" s="495">
        <v>11443</v>
      </c>
      <c r="M32" s="495">
        <v>10623</v>
      </c>
      <c r="N32" s="305">
        <v>7305</v>
      </c>
      <c r="O32" s="305">
        <f t="shared" si="22"/>
        <v>3318</v>
      </c>
      <c r="P32" s="305">
        <f t="shared" si="23"/>
        <v>820</v>
      </c>
    </row>
    <row r="33" spans="1:16" ht="16.5" customHeight="1">
      <c r="A33" s="83" t="s">
        <v>818</v>
      </c>
      <c r="B33" s="120" t="s">
        <v>874</v>
      </c>
      <c r="C33" s="122">
        <v>7500</v>
      </c>
      <c r="D33" s="122">
        <f>+C33</f>
        <v>7500</v>
      </c>
      <c r="E33" s="122">
        <v>7500</v>
      </c>
      <c r="F33" s="122">
        <f>E33</f>
        <v>7500</v>
      </c>
      <c r="G33" s="122">
        <v>7500</v>
      </c>
      <c r="H33" s="122">
        <f>G33</f>
        <v>7500</v>
      </c>
      <c r="I33" s="126">
        <f t="shared" si="15"/>
        <v>1</v>
      </c>
      <c r="J33" s="126">
        <f t="shared" si="16"/>
        <v>1</v>
      </c>
      <c r="L33" s="305">
        <v>5782</v>
      </c>
      <c r="M33" s="305">
        <v>5782</v>
      </c>
      <c r="N33" s="305">
        <v>3485</v>
      </c>
      <c r="O33" s="305">
        <f t="shared" si="22"/>
        <v>2297</v>
      </c>
      <c r="P33" s="305">
        <f t="shared" si="23"/>
        <v>0</v>
      </c>
    </row>
    <row r="34" spans="1:16" ht="16.5" customHeight="1">
      <c r="A34" s="59" t="s">
        <v>878</v>
      </c>
      <c r="B34" s="60"/>
      <c r="C34" s="122"/>
      <c r="D34" s="108"/>
      <c r="E34" s="108"/>
      <c r="F34" s="108"/>
      <c r="G34" s="108"/>
      <c r="H34" s="108"/>
      <c r="I34" s="126"/>
      <c r="J34" s="126"/>
      <c r="L34" s="305"/>
      <c r="M34" s="305"/>
      <c r="N34" s="305"/>
      <c r="O34" s="305">
        <f t="shared" si="22"/>
        <v>0</v>
      </c>
      <c r="P34" s="305">
        <f t="shared" si="23"/>
        <v>0</v>
      </c>
    </row>
    <row r="35" spans="1:16" ht="16.5" customHeight="1">
      <c r="A35" s="59">
        <v>5</v>
      </c>
      <c r="B35" s="60" t="s">
        <v>267</v>
      </c>
      <c r="C35" s="109">
        <v>1000000</v>
      </c>
      <c r="D35" s="109">
        <f>C35*$L$1</f>
        <v>1000000</v>
      </c>
      <c r="E35" s="107">
        <v>1000000</v>
      </c>
      <c r="F35" s="108">
        <f>E35*$L$1</f>
        <v>1000000</v>
      </c>
      <c r="G35" s="109">
        <v>1200000</v>
      </c>
      <c r="H35" s="108">
        <f>G35*$L$1</f>
        <v>1200000</v>
      </c>
      <c r="I35" s="126">
        <f t="shared" si="15"/>
        <v>1.2</v>
      </c>
      <c r="J35" s="126">
        <f t="shared" si="16"/>
        <v>1.2</v>
      </c>
      <c r="L35" s="305">
        <v>826444</v>
      </c>
      <c r="M35" s="305">
        <v>826444</v>
      </c>
      <c r="N35" s="305">
        <v>564565</v>
      </c>
      <c r="O35" s="305">
        <f t="shared" si="22"/>
        <v>261879</v>
      </c>
      <c r="P35" s="305">
        <f t="shared" si="23"/>
        <v>0</v>
      </c>
    </row>
    <row r="36" spans="1:16" ht="16.5" customHeight="1">
      <c r="A36" s="59">
        <v>6</v>
      </c>
      <c r="B36" s="60" t="s">
        <v>268</v>
      </c>
      <c r="C36" s="109">
        <f t="shared" ref="C36:H36" si="28">C37+C38</f>
        <v>420000</v>
      </c>
      <c r="D36" s="109">
        <f t="shared" si="28"/>
        <v>156300</v>
      </c>
      <c r="E36" s="109">
        <f t="shared" si="28"/>
        <v>420000</v>
      </c>
      <c r="F36" s="109">
        <f t="shared" si="28"/>
        <v>156300</v>
      </c>
      <c r="G36" s="109">
        <f t="shared" si="28"/>
        <v>420000</v>
      </c>
      <c r="H36" s="109">
        <f t="shared" si="28"/>
        <v>156300</v>
      </c>
      <c r="I36" s="126">
        <f t="shared" si="15"/>
        <v>1</v>
      </c>
      <c r="J36" s="126">
        <f t="shared" si="16"/>
        <v>1</v>
      </c>
      <c r="L36" s="109">
        <f t="shared" ref="L36:N36" si="29">L37+L38</f>
        <v>303250</v>
      </c>
      <c r="M36" s="109">
        <f t="shared" si="29"/>
        <v>113468</v>
      </c>
      <c r="N36" s="109">
        <f t="shared" si="29"/>
        <v>113462</v>
      </c>
      <c r="O36" s="305">
        <f t="shared" si="22"/>
        <v>6</v>
      </c>
      <c r="P36" s="305">
        <f t="shared" si="23"/>
        <v>189782</v>
      </c>
    </row>
    <row r="37" spans="1:16" s="121" customFormat="1" ht="30">
      <c r="A37" s="119" t="s">
        <v>22</v>
      </c>
      <c r="B37" s="129" t="s">
        <v>354</v>
      </c>
      <c r="C37" s="130">
        <v>156300</v>
      </c>
      <c r="D37" s="130">
        <f>C37*$L$1</f>
        <v>156300</v>
      </c>
      <c r="E37" s="130">
        <v>156300</v>
      </c>
      <c r="F37" s="122">
        <f>E37*$L$1</f>
        <v>156300</v>
      </c>
      <c r="G37" s="130">
        <v>156300</v>
      </c>
      <c r="H37" s="122">
        <f>G37*$L$1</f>
        <v>156300</v>
      </c>
      <c r="I37" s="127">
        <f t="shared" si="15"/>
        <v>1</v>
      </c>
      <c r="J37" s="127">
        <f t="shared" si="16"/>
        <v>1</v>
      </c>
      <c r="L37" s="305">
        <v>113468</v>
      </c>
      <c r="M37" s="305">
        <v>113468</v>
      </c>
      <c r="N37" s="305">
        <v>113462</v>
      </c>
      <c r="O37" s="305">
        <f t="shared" si="22"/>
        <v>6</v>
      </c>
      <c r="P37" s="305">
        <f t="shared" si="23"/>
        <v>0</v>
      </c>
    </row>
    <row r="38" spans="1:16" s="121" customFormat="1" ht="16.5" customHeight="1">
      <c r="A38" s="119" t="s">
        <v>22</v>
      </c>
      <c r="B38" s="129" t="s">
        <v>355</v>
      </c>
      <c r="C38" s="130">
        <v>263700</v>
      </c>
      <c r="D38" s="131"/>
      <c r="E38" s="130">
        <v>263700</v>
      </c>
      <c r="F38" s="131"/>
      <c r="G38" s="130">
        <v>263700</v>
      </c>
      <c r="H38" s="131"/>
      <c r="I38" s="127">
        <f t="shared" si="15"/>
        <v>1</v>
      </c>
      <c r="J38" s="127"/>
      <c r="L38" s="305">
        <f>189782</f>
        <v>189782</v>
      </c>
      <c r="M38" s="305"/>
      <c r="N38" s="305"/>
      <c r="O38" s="305">
        <f t="shared" si="22"/>
        <v>0</v>
      </c>
      <c r="P38" s="305">
        <f t="shared" si="23"/>
        <v>189782</v>
      </c>
    </row>
    <row r="39" spans="1:16" ht="16.5" customHeight="1">
      <c r="A39" s="59">
        <v>7</v>
      </c>
      <c r="B39" s="60" t="s">
        <v>356</v>
      </c>
      <c r="C39" s="109">
        <v>300000</v>
      </c>
      <c r="D39" s="109">
        <f>C39</f>
        <v>300000</v>
      </c>
      <c r="E39" s="109">
        <v>317500</v>
      </c>
      <c r="F39" s="109">
        <f>E39</f>
        <v>317500</v>
      </c>
      <c r="G39" s="109">
        <v>340700</v>
      </c>
      <c r="H39" s="109">
        <f>G39</f>
        <v>340700</v>
      </c>
      <c r="I39" s="126">
        <f t="shared" si="15"/>
        <v>1.0730708661417323</v>
      </c>
      <c r="J39" s="126">
        <f t="shared" si="16"/>
        <v>1.0730708661417323</v>
      </c>
      <c r="L39" s="105">
        <f>218784+39895</f>
        <v>258679</v>
      </c>
      <c r="M39" s="105">
        <f>218784+39895</f>
        <v>258679</v>
      </c>
      <c r="N39" s="105"/>
      <c r="O39" s="305">
        <f t="shared" si="22"/>
        <v>258679</v>
      </c>
      <c r="P39" s="305">
        <f t="shared" si="23"/>
        <v>0</v>
      </c>
    </row>
    <row r="40" spans="1:16" ht="16.5" customHeight="1">
      <c r="A40" s="59">
        <v>8</v>
      </c>
      <c r="B40" s="60" t="s">
        <v>357</v>
      </c>
      <c r="C40" s="109">
        <f t="shared" ref="C40:H40" si="30">C41+C42</f>
        <v>97000</v>
      </c>
      <c r="D40" s="109">
        <f t="shared" si="30"/>
        <v>81000</v>
      </c>
      <c r="E40" s="109">
        <f t="shared" si="30"/>
        <v>99400</v>
      </c>
      <c r="F40" s="109">
        <f t="shared" si="30"/>
        <v>83400</v>
      </c>
      <c r="G40" s="109">
        <f t="shared" si="30"/>
        <v>112000</v>
      </c>
      <c r="H40" s="109">
        <f t="shared" si="30"/>
        <v>73790</v>
      </c>
      <c r="I40" s="126">
        <f t="shared" si="15"/>
        <v>1.1267605633802817</v>
      </c>
      <c r="J40" s="126">
        <f t="shared" si="16"/>
        <v>0.88477218225419663</v>
      </c>
      <c r="K40" s="1">
        <f>149126+23+27+734</f>
        <v>149910</v>
      </c>
      <c r="L40" s="109">
        <f t="shared" ref="L40:P40" si="31">L41+L42</f>
        <v>97521</v>
      </c>
      <c r="M40" s="109">
        <f t="shared" si="31"/>
        <v>69360</v>
      </c>
      <c r="N40" s="109">
        <f t="shared" si="31"/>
        <v>29853</v>
      </c>
      <c r="O40" s="109">
        <f t="shared" si="31"/>
        <v>39507</v>
      </c>
      <c r="P40" s="109">
        <f t="shared" si="31"/>
        <v>28161</v>
      </c>
    </row>
    <row r="41" spans="1:16" s="121" customFormat="1" ht="16.5" customHeight="1">
      <c r="A41" s="119" t="s">
        <v>22</v>
      </c>
      <c r="B41" s="129" t="s">
        <v>358</v>
      </c>
      <c r="C41" s="130">
        <v>16000</v>
      </c>
      <c r="D41" s="130"/>
      <c r="E41" s="130">
        <v>16000</v>
      </c>
      <c r="F41" s="130"/>
      <c r="G41" s="130">
        <v>38210</v>
      </c>
      <c r="H41" s="130"/>
      <c r="I41" s="127">
        <f t="shared" si="15"/>
        <v>2.3881250000000001</v>
      </c>
      <c r="J41" s="127"/>
      <c r="K41" s="305">
        <f>+K40-L40</f>
        <v>52389</v>
      </c>
      <c r="L41" s="305">
        <v>28161</v>
      </c>
      <c r="M41" s="305"/>
      <c r="N41" s="305"/>
      <c r="O41" s="305">
        <f t="shared" si="22"/>
        <v>0</v>
      </c>
      <c r="P41" s="305">
        <f t="shared" si="23"/>
        <v>28161</v>
      </c>
    </row>
    <row r="42" spans="1:16" s="121" customFormat="1" ht="16.5" customHeight="1">
      <c r="A42" s="119" t="s">
        <v>22</v>
      </c>
      <c r="B42" s="129" t="s">
        <v>883</v>
      </c>
      <c r="C42" s="130">
        <v>81000</v>
      </c>
      <c r="D42" s="130">
        <f>C42</f>
        <v>81000</v>
      </c>
      <c r="E42" s="130">
        <f>SUM(E43:E45)</f>
        <v>83400</v>
      </c>
      <c r="F42" s="130">
        <f>SUM(F43:F45)</f>
        <v>83400</v>
      </c>
      <c r="G42" s="130">
        <f>+G43+G44+G45</f>
        <v>73790</v>
      </c>
      <c r="H42" s="130">
        <f>SUM(H43:H45)</f>
        <v>73790</v>
      </c>
      <c r="I42" s="127">
        <f t="shared" si="15"/>
        <v>0.88477218225419663</v>
      </c>
      <c r="J42" s="127"/>
      <c r="L42" s="305">
        <f>120966-39895-(3705+5799+2991)+784</f>
        <v>69360</v>
      </c>
      <c r="M42" s="305">
        <f>+L42</f>
        <v>69360</v>
      </c>
      <c r="N42" s="305">
        <f>+N43+N44+N45</f>
        <v>29853</v>
      </c>
      <c r="O42" s="305">
        <f t="shared" si="22"/>
        <v>39507</v>
      </c>
      <c r="P42" s="305">
        <f t="shared" si="23"/>
        <v>0</v>
      </c>
    </row>
    <row r="43" spans="1:16" s="121" customFormat="1" ht="16.5" customHeight="1">
      <c r="A43" s="119" t="s">
        <v>882</v>
      </c>
      <c r="B43" s="129" t="s">
        <v>881</v>
      </c>
      <c r="C43" s="131"/>
      <c r="D43" s="130"/>
      <c r="E43" s="122">
        <v>30750</v>
      </c>
      <c r="F43" s="130">
        <f>E43</f>
        <v>30750</v>
      </c>
      <c r="G43" s="130">
        <v>27360</v>
      </c>
      <c r="H43" s="130">
        <f>G43</f>
        <v>27360</v>
      </c>
      <c r="I43" s="127">
        <f t="shared" si="15"/>
        <v>0.88975609756097562</v>
      </c>
      <c r="J43" s="127">
        <f t="shared" si="16"/>
        <v>0.88975609756097562</v>
      </c>
      <c r="L43" s="305">
        <f>29880-110</f>
        <v>29770</v>
      </c>
      <c r="M43" s="305">
        <f>+L43</f>
        <v>29770</v>
      </c>
      <c r="N43" s="305">
        <f>+M43</f>
        <v>29770</v>
      </c>
      <c r="O43" s="305">
        <f t="shared" si="22"/>
        <v>0</v>
      </c>
      <c r="P43" s="305">
        <f t="shared" si="23"/>
        <v>0</v>
      </c>
    </row>
    <row r="44" spans="1:16" s="121" customFormat="1" ht="16.5" customHeight="1">
      <c r="A44" s="119" t="s">
        <v>882</v>
      </c>
      <c r="B44" s="129" t="s">
        <v>359</v>
      </c>
      <c r="C44" s="130"/>
      <c r="D44" s="130"/>
      <c r="E44" s="122">
        <v>41300</v>
      </c>
      <c r="F44" s="130">
        <f t="shared" ref="F44:H45" si="32">E44</f>
        <v>41300</v>
      </c>
      <c r="G44" s="130">
        <v>36480</v>
      </c>
      <c r="H44" s="130">
        <f t="shared" si="32"/>
        <v>36480</v>
      </c>
      <c r="I44" s="127">
        <f t="shared" si="15"/>
        <v>0.88329297820823249</v>
      </c>
      <c r="J44" s="127">
        <f t="shared" si="16"/>
        <v>0.88329297820823249</v>
      </c>
      <c r="L44" s="305">
        <f>23+27+734+70169-39895-(814+3158+2871)</f>
        <v>24215</v>
      </c>
      <c r="M44" s="305">
        <f>23+27+734+70169-39895-(814+3158+2871)</f>
        <v>24215</v>
      </c>
      <c r="N44" s="305">
        <f>27+56</f>
        <v>83</v>
      </c>
      <c r="O44" s="305">
        <f t="shared" si="22"/>
        <v>24132</v>
      </c>
      <c r="P44" s="305">
        <f t="shared" si="23"/>
        <v>0</v>
      </c>
    </row>
    <row r="45" spans="1:16" s="121" customFormat="1" ht="16.5" customHeight="1">
      <c r="A45" s="119" t="s">
        <v>882</v>
      </c>
      <c r="B45" s="129" t="s">
        <v>360</v>
      </c>
      <c r="C45" s="130"/>
      <c r="D45" s="130"/>
      <c r="E45" s="122">
        <v>11350</v>
      </c>
      <c r="F45" s="130">
        <f t="shared" si="32"/>
        <v>11350</v>
      </c>
      <c r="G45" s="130">
        <v>9950</v>
      </c>
      <c r="H45" s="130">
        <f t="shared" si="32"/>
        <v>9950</v>
      </c>
      <c r="I45" s="127">
        <f t="shared" si="15"/>
        <v>0.87665198237885467</v>
      </c>
      <c r="J45" s="127">
        <f t="shared" si="16"/>
        <v>0.87665198237885467</v>
      </c>
      <c r="L45" s="305">
        <f>20916-(2891+2530+120)</f>
        <v>15375</v>
      </c>
      <c r="M45" s="305">
        <f>+L45</f>
        <v>15375</v>
      </c>
      <c r="N45" s="305"/>
      <c r="O45" s="305">
        <f t="shared" si="22"/>
        <v>15375</v>
      </c>
      <c r="P45" s="305">
        <f t="shared" si="23"/>
        <v>0</v>
      </c>
    </row>
    <row r="46" spans="1:16" ht="16.5" customHeight="1">
      <c r="A46" s="59">
        <v>9</v>
      </c>
      <c r="B46" s="60" t="s">
        <v>361</v>
      </c>
      <c r="C46" s="109"/>
      <c r="D46" s="109"/>
      <c r="E46" s="109"/>
      <c r="F46" s="109"/>
      <c r="G46" s="109">
        <v>500</v>
      </c>
      <c r="H46" s="109">
        <f>+G46</f>
        <v>500</v>
      </c>
      <c r="I46" s="126"/>
      <c r="J46" s="126"/>
      <c r="L46" s="105">
        <v>345</v>
      </c>
      <c r="M46" s="105">
        <v>345</v>
      </c>
      <c r="N46" s="105"/>
      <c r="O46" s="305">
        <f t="shared" si="22"/>
        <v>345</v>
      </c>
      <c r="P46" s="305">
        <f t="shared" si="23"/>
        <v>0</v>
      </c>
    </row>
    <row r="47" spans="1:16" ht="16.5" customHeight="1">
      <c r="A47" s="59">
        <v>10</v>
      </c>
      <c r="B47" s="60" t="s">
        <v>362</v>
      </c>
      <c r="C47" s="109">
        <v>25000</v>
      </c>
      <c r="D47" s="109">
        <f>+C47</f>
        <v>25000</v>
      </c>
      <c r="E47" s="109">
        <v>27000</v>
      </c>
      <c r="F47" s="109">
        <f>E47</f>
        <v>27000</v>
      </c>
      <c r="G47" s="109">
        <v>28000</v>
      </c>
      <c r="H47" s="109">
        <f>G47</f>
        <v>28000</v>
      </c>
      <c r="I47" s="126">
        <f t="shared" si="15"/>
        <v>1.037037037037037</v>
      </c>
      <c r="J47" s="126">
        <f t="shared" si="16"/>
        <v>1.037037037037037</v>
      </c>
      <c r="L47" s="105">
        <v>24820</v>
      </c>
      <c r="M47" s="105">
        <v>24820</v>
      </c>
      <c r="N47" s="105">
        <v>741</v>
      </c>
      <c r="O47" s="305">
        <f t="shared" si="22"/>
        <v>24079</v>
      </c>
      <c r="P47" s="305">
        <f t="shared" si="23"/>
        <v>0</v>
      </c>
    </row>
    <row r="48" spans="1:16" ht="16.5" customHeight="1">
      <c r="A48" s="59">
        <v>11</v>
      </c>
      <c r="B48" s="60" t="s">
        <v>363</v>
      </c>
      <c r="C48" s="109">
        <v>220000</v>
      </c>
      <c r="D48" s="109">
        <f>+C48</f>
        <v>220000</v>
      </c>
      <c r="E48" s="109">
        <v>220000</v>
      </c>
      <c r="F48" s="109">
        <f>E48</f>
        <v>220000</v>
      </c>
      <c r="G48" s="109">
        <v>456000</v>
      </c>
      <c r="H48" s="109">
        <f>G48</f>
        <v>456000</v>
      </c>
      <c r="I48" s="126">
        <f t="shared" si="15"/>
        <v>2.0727272727272728</v>
      </c>
      <c r="J48" s="126">
        <f t="shared" si="16"/>
        <v>2.0727272727272728</v>
      </c>
      <c r="L48" s="105">
        <v>395017</v>
      </c>
      <c r="M48" s="105">
        <v>395017</v>
      </c>
      <c r="N48" s="105">
        <v>345108</v>
      </c>
      <c r="O48" s="305">
        <f t="shared" si="22"/>
        <v>49909</v>
      </c>
      <c r="P48" s="305">
        <f t="shared" si="23"/>
        <v>0</v>
      </c>
    </row>
    <row r="49" spans="1:16" s="310" customFormat="1" ht="16.5" customHeight="1">
      <c r="A49" s="292">
        <v>12</v>
      </c>
      <c r="B49" s="293" t="s">
        <v>270</v>
      </c>
      <c r="C49" s="308">
        <v>200000</v>
      </c>
      <c r="D49" s="308">
        <f>C49</f>
        <v>200000</v>
      </c>
      <c r="E49" s="308">
        <v>250000</v>
      </c>
      <c r="F49" s="308">
        <f>E49</f>
        <v>250000</v>
      </c>
      <c r="G49" s="308">
        <v>1100000</v>
      </c>
      <c r="H49" s="308">
        <f>G49</f>
        <v>1100000</v>
      </c>
      <c r="I49" s="309">
        <f t="shared" si="15"/>
        <v>4.4000000000000004</v>
      </c>
      <c r="J49" s="309">
        <f t="shared" si="16"/>
        <v>4.4000000000000004</v>
      </c>
      <c r="L49" s="250">
        <v>967091</v>
      </c>
      <c r="M49" s="250">
        <v>967091</v>
      </c>
      <c r="N49" s="250">
        <v>117275</v>
      </c>
      <c r="O49" s="305">
        <f t="shared" si="22"/>
        <v>849816</v>
      </c>
      <c r="P49" s="305">
        <f t="shared" si="23"/>
        <v>0</v>
      </c>
    </row>
    <row r="50" spans="1:16" ht="33.75" customHeight="1">
      <c r="A50" s="59">
        <v>13</v>
      </c>
      <c r="B50" s="60" t="s">
        <v>364</v>
      </c>
      <c r="C50" s="109"/>
      <c r="D50" s="109"/>
      <c r="E50" s="109"/>
      <c r="F50" s="109"/>
      <c r="G50" s="109">
        <v>6500</v>
      </c>
      <c r="H50" s="109">
        <f>G50</f>
        <v>6500</v>
      </c>
      <c r="I50" s="126"/>
      <c r="J50" s="126"/>
      <c r="L50" s="105">
        <v>6094</v>
      </c>
      <c r="M50" s="105">
        <v>6094</v>
      </c>
      <c r="N50" s="105">
        <v>5147</v>
      </c>
      <c r="O50" s="305">
        <f t="shared" si="22"/>
        <v>947</v>
      </c>
      <c r="P50" s="305">
        <f t="shared" si="23"/>
        <v>0</v>
      </c>
    </row>
    <row r="51" spans="1:16" ht="16.5" customHeight="1">
      <c r="A51" s="83">
        <v>14</v>
      </c>
      <c r="B51" s="60" t="s">
        <v>365</v>
      </c>
      <c r="C51" s="132">
        <v>1120000</v>
      </c>
      <c r="D51" s="132">
        <f>C51</f>
        <v>1120000</v>
      </c>
      <c r="E51" s="132">
        <v>1120000</v>
      </c>
      <c r="F51" s="132">
        <f>E51</f>
        <v>1120000</v>
      </c>
      <c r="G51" s="132">
        <v>1200000</v>
      </c>
      <c r="H51" s="132">
        <f>G51</f>
        <v>1200000</v>
      </c>
      <c r="I51" s="126">
        <f t="shared" si="15"/>
        <v>1.0714285714285714</v>
      </c>
      <c r="J51" s="126">
        <f t="shared" si="16"/>
        <v>1.0714285714285714</v>
      </c>
      <c r="L51" s="105">
        <v>954935</v>
      </c>
      <c r="M51" s="105">
        <f>+L51</f>
        <v>954935</v>
      </c>
      <c r="N51" s="105">
        <f>+M51</f>
        <v>954935</v>
      </c>
      <c r="O51" s="305">
        <f t="shared" si="22"/>
        <v>0</v>
      </c>
      <c r="P51" s="305">
        <f t="shared" si="23"/>
        <v>0</v>
      </c>
    </row>
    <row r="52" spans="1:16" s="121" customFormat="1" ht="16.5" hidden="1" customHeight="1">
      <c r="A52" s="120"/>
      <c r="B52" s="120"/>
      <c r="C52" s="133"/>
      <c r="D52" s="133"/>
      <c r="E52" s="133"/>
      <c r="F52" s="133"/>
      <c r="G52" s="133"/>
      <c r="H52" s="133"/>
      <c r="I52" s="126" t="e">
        <f t="shared" si="15"/>
        <v>#DIV/0!</v>
      </c>
      <c r="J52" s="126" t="e">
        <f t="shared" si="16"/>
        <v>#DIV/0!</v>
      </c>
      <c r="L52" s="305"/>
      <c r="M52" s="305"/>
      <c r="N52" s="305"/>
      <c r="O52" s="305">
        <f t="shared" si="22"/>
        <v>0</v>
      </c>
      <c r="P52" s="305">
        <f t="shared" si="23"/>
        <v>0</v>
      </c>
    </row>
    <row r="53" spans="1:16" s="121" customFormat="1" ht="16.5" hidden="1" customHeight="1">
      <c r="A53" s="120"/>
      <c r="B53" s="120"/>
      <c r="C53" s="133"/>
      <c r="D53" s="133"/>
      <c r="E53" s="133"/>
      <c r="F53" s="133"/>
      <c r="G53" s="133"/>
      <c r="H53" s="133"/>
      <c r="I53" s="126" t="e">
        <f t="shared" si="15"/>
        <v>#DIV/0!</v>
      </c>
      <c r="J53" s="126" t="e">
        <f t="shared" si="16"/>
        <v>#DIV/0!</v>
      </c>
      <c r="L53" s="305"/>
      <c r="M53" s="305"/>
      <c r="N53" s="305"/>
      <c r="O53" s="305">
        <f t="shared" si="22"/>
        <v>0</v>
      </c>
      <c r="P53" s="305">
        <f t="shared" si="23"/>
        <v>0</v>
      </c>
    </row>
    <row r="54" spans="1:16" s="121" customFormat="1" ht="16.5" hidden="1" customHeight="1">
      <c r="A54" s="120"/>
      <c r="B54" s="120"/>
      <c r="C54" s="133"/>
      <c r="D54" s="133"/>
      <c r="E54" s="133"/>
      <c r="F54" s="133"/>
      <c r="G54" s="133"/>
      <c r="H54" s="133"/>
      <c r="I54" s="126" t="e">
        <f t="shared" si="15"/>
        <v>#DIV/0!</v>
      </c>
      <c r="J54" s="126" t="e">
        <f t="shared" si="16"/>
        <v>#DIV/0!</v>
      </c>
      <c r="L54" s="305"/>
      <c r="M54" s="305"/>
      <c r="N54" s="305"/>
      <c r="O54" s="305">
        <f t="shared" si="22"/>
        <v>0</v>
      </c>
      <c r="P54" s="305">
        <f t="shared" si="23"/>
        <v>0</v>
      </c>
    </row>
    <row r="55" spans="1:16" s="121" customFormat="1" ht="16.5" hidden="1" customHeight="1">
      <c r="A55" s="120"/>
      <c r="B55" s="120" t="s">
        <v>353</v>
      </c>
      <c r="C55" s="133"/>
      <c r="D55" s="133"/>
      <c r="E55" s="133"/>
      <c r="F55" s="133"/>
      <c r="G55" s="133"/>
      <c r="H55" s="133"/>
      <c r="I55" s="126" t="e">
        <f t="shared" si="15"/>
        <v>#DIV/0!</v>
      </c>
      <c r="J55" s="126" t="e">
        <f t="shared" si="16"/>
        <v>#DIV/0!</v>
      </c>
      <c r="L55" s="305"/>
      <c r="M55" s="305"/>
      <c r="N55" s="305"/>
      <c r="O55" s="305">
        <f t="shared" si="22"/>
        <v>0</v>
      </c>
      <c r="P55" s="305">
        <f t="shared" si="23"/>
        <v>0</v>
      </c>
    </row>
    <row r="56" spans="1:16" ht="16.5" customHeight="1">
      <c r="A56" s="59">
        <v>15</v>
      </c>
      <c r="B56" s="60" t="s">
        <v>366</v>
      </c>
      <c r="C56" s="109">
        <v>17000</v>
      </c>
      <c r="D56" s="109">
        <f>13950*0.3+3050</f>
        <v>7235</v>
      </c>
      <c r="E56" s="109">
        <v>17000</v>
      </c>
      <c r="F56" s="109">
        <f>13950*0.3+3050</f>
        <v>7235</v>
      </c>
      <c r="G56" s="109">
        <v>55000</v>
      </c>
      <c r="H56" s="109">
        <f>H57+H58</f>
        <v>38074.31235</v>
      </c>
      <c r="I56" s="126">
        <f t="shared" si="15"/>
        <v>3.2352941176470589</v>
      </c>
      <c r="J56" s="126">
        <f t="shared" si="16"/>
        <v>5.2625172563925364</v>
      </c>
      <c r="L56" s="105">
        <v>49874</v>
      </c>
      <c r="M56" s="105">
        <v>32948</v>
      </c>
      <c r="N56" s="105">
        <v>16188</v>
      </c>
      <c r="O56" s="305">
        <f t="shared" si="22"/>
        <v>16760</v>
      </c>
      <c r="P56" s="305">
        <f t="shared" si="23"/>
        <v>16926</v>
      </c>
    </row>
    <row r="57" spans="1:16" s="151" customFormat="1" ht="16.5" customHeight="1">
      <c r="A57" s="146"/>
      <c r="B57" s="149" t="s">
        <v>958</v>
      </c>
      <c r="C57" s="180">
        <v>13950</v>
      </c>
      <c r="D57" s="180">
        <f>C57*0.3</f>
        <v>4185</v>
      </c>
      <c r="E57" s="180">
        <v>13950</v>
      </c>
      <c r="F57" s="180">
        <f>E57*0.3</f>
        <v>4185</v>
      </c>
      <c r="G57" s="180">
        <f>16925.68765/0.7</f>
        <v>24179.553785714288</v>
      </c>
      <c r="H57" s="180">
        <f>+G57*0.3</f>
        <v>7253.8661357142864</v>
      </c>
      <c r="I57" s="181"/>
      <c r="J57" s="181"/>
      <c r="L57" s="306">
        <f>16926/0.7</f>
        <v>24180</v>
      </c>
      <c r="M57" s="306">
        <f>+L57-16926</f>
        <v>7254</v>
      </c>
      <c r="N57" s="306">
        <f>+M57</f>
        <v>7254</v>
      </c>
      <c r="O57" s="305">
        <f t="shared" si="22"/>
        <v>0</v>
      </c>
      <c r="P57" s="305">
        <f t="shared" si="23"/>
        <v>16926</v>
      </c>
    </row>
    <row r="58" spans="1:16" s="151" customFormat="1" ht="16.5" customHeight="1">
      <c r="A58" s="146"/>
      <c r="B58" s="149" t="s">
        <v>959</v>
      </c>
      <c r="C58" s="180">
        <f>+C56-C57</f>
        <v>3050</v>
      </c>
      <c r="D58" s="180">
        <f>+C58</f>
        <v>3050</v>
      </c>
      <c r="E58" s="180">
        <f>+E56-E57</f>
        <v>3050</v>
      </c>
      <c r="F58" s="180">
        <f>+E58</f>
        <v>3050</v>
      </c>
      <c r="G58" s="180">
        <f>+G56-G57</f>
        <v>30820.446214285712</v>
      </c>
      <c r="H58" s="180">
        <f>+G58</f>
        <v>30820.446214285712</v>
      </c>
      <c r="I58" s="181"/>
      <c r="J58" s="181"/>
      <c r="L58" s="306">
        <f>+L56-L57</f>
        <v>25694</v>
      </c>
      <c r="M58" s="306">
        <f>+L58</f>
        <v>25694</v>
      </c>
      <c r="N58" s="306">
        <f>+N56-N57</f>
        <v>8934</v>
      </c>
      <c r="O58" s="305">
        <f t="shared" si="22"/>
        <v>16760</v>
      </c>
      <c r="P58" s="305">
        <f t="shared" si="23"/>
        <v>0</v>
      </c>
    </row>
    <row r="59" spans="1:16" ht="16.5" customHeight="1">
      <c r="A59" s="59">
        <v>16</v>
      </c>
      <c r="B59" s="60" t="s">
        <v>367</v>
      </c>
      <c r="C59" s="109">
        <v>171200</v>
      </c>
      <c r="D59" s="109">
        <f>C59-104200</f>
        <v>67000</v>
      </c>
      <c r="E59" s="109">
        <v>171200</v>
      </c>
      <c r="F59" s="109">
        <f>E59-104200</f>
        <v>67000</v>
      </c>
      <c r="G59" s="109">
        <v>300000</v>
      </c>
      <c r="H59" s="109">
        <f>H60+H61+H62</f>
        <v>191431</v>
      </c>
      <c r="I59" s="126">
        <f t="shared" si="15"/>
        <v>1.7523364485981308</v>
      </c>
      <c r="J59" s="126">
        <f t="shared" si="16"/>
        <v>2.8571791044776118</v>
      </c>
      <c r="L59" s="306">
        <f>442+1865+11837+325708-83548</f>
        <v>256304</v>
      </c>
      <c r="M59" s="306">
        <f>186+3+256+271003-83548</f>
        <v>187900</v>
      </c>
      <c r="N59" s="306">
        <f>3+186+195515-83548</f>
        <v>112156</v>
      </c>
      <c r="O59" s="305">
        <f t="shared" si="22"/>
        <v>75744</v>
      </c>
      <c r="P59" s="305">
        <f t="shared" si="23"/>
        <v>68404</v>
      </c>
    </row>
    <row r="60" spans="1:16" s="151" customFormat="1" ht="16.5" customHeight="1">
      <c r="A60" s="146"/>
      <c r="B60" s="149" t="s">
        <v>953</v>
      </c>
      <c r="C60" s="180">
        <v>83000</v>
      </c>
      <c r="D60" s="180"/>
      <c r="E60" s="180">
        <v>83000</v>
      </c>
      <c r="F60" s="180"/>
      <c r="G60" s="180">
        <v>70000</v>
      </c>
      <c r="H60" s="180"/>
      <c r="I60" s="181"/>
      <c r="J60" s="181"/>
      <c r="L60" s="306">
        <v>51288</v>
      </c>
      <c r="M60" s="306">
        <v>8652</v>
      </c>
      <c r="N60" s="306">
        <v>5647</v>
      </c>
      <c r="O60" s="305">
        <f t="shared" si="22"/>
        <v>3005</v>
      </c>
      <c r="P60" s="305">
        <f t="shared" si="23"/>
        <v>42636</v>
      </c>
    </row>
    <row r="61" spans="1:16" s="151" customFormat="1" ht="16.5" customHeight="1">
      <c r="A61" s="146"/>
      <c r="B61" s="149" t="s">
        <v>954</v>
      </c>
      <c r="C61" s="180">
        <v>21200</v>
      </c>
      <c r="D61" s="180"/>
      <c r="E61" s="180">
        <v>21200</v>
      </c>
      <c r="F61" s="180"/>
      <c r="G61" s="180">
        <v>26500</v>
      </c>
      <c r="H61" s="180"/>
      <c r="I61" s="181"/>
      <c r="J61" s="181"/>
      <c r="L61" s="306">
        <f>442+1865+11837</f>
        <v>14144</v>
      </c>
      <c r="M61" s="306">
        <f>186+3+256</f>
        <v>445</v>
      </c>
      <c r="N61" s="306">
        <f>3+186</f>
        <v>189</v>
      </c>
      <c r="O61" s="305">
        <f t="shared" si="22"/>
        <v>256</v>
      </c>
      <c r="P61" s="305">
        <f t="shared" si="23"/>
        <v>13699</v>
      </c>
    </row>
    <row r="62" spans="1:16" s="151" customFormat="1" ht="16.5" customHeight="1">
      <c r="A62" s="146"/>
      <c r="B62" s="149" t="s">
        <v>955</v>
      </c>
      <c r="C62" s="180">
        <f>+C59-C60-C61</f>
        <v>67000</v>
      </c>
      <c r="D62" s="180">
        <f>+C62</f>
        <v>67000</v>
      </c>
      <c r="E62" s="180">
        <f>+E59-E60-E61</f>
        <v>67000</v>
      </c>
      <c r="F62" s="180">
        <f>+E62</f>
        <v>67000</v>
      </c>
      <c r="G62" s="180">
        <f>+G59-G60-G61</f>
        <v>203500</v>
      </c>
      <c r="H62" s="180">
        <f>+H63+H64</f>
        <v>191431</v>
      </c>
      <c r="I62" s="181"/>
      <c r="J62" s="181"/>
      <c r="L62" s="306">
        <f>+L59-L60-L61</f>
        <v>190872</v>
      </c>
      <c r="M62" s="306">
        <f t="shared" ref="M62:N62" si="33">+M59-M60-M61</f>
        <v>178803</v>
      </c>
      <c r="N62" s="306">
        <f t="shared" si="33"/>
        <v>106320</v>
      </c>
      <c r="O62" s="305">
        <f t="shared" si="22"/>
        <v>72483</v>
      </c>
      <c r="P62" s="305">
        <f t="shared" si="23"/>
        <v>12069</v>
      </c>
    </row>
    <row r="63" spans="1:16" s="151" customFormat="1" ht="16.5" customHeight="1">
      <c r="A63" s="146"/>
      <c r="B63" s="149" t="s">
        <v>960</v>
      </c>
      <c r="C63" s="180"/>
      <c r="D63" s="180"/>
      <c r="E63" s="180"/>
      <c r="F63" s="180"/>
      <c r="G63" s="180">
        <f>+G62-G64</f>
        <v>101000</v>
      </c>
      <c r="H63" s="180">
        <f>G63-(L63-M63)</f>
        <v>91202</v>
      </c>
      <c r="I63" s="181"/>
      <c r="J63" s="181"/>
      <c r="L63" s="306">
        <f>+L62-L64</f>
        <v>97160</v>
      </c>
      <c r="M63" s="306">
        <f>+M62-M64</f>
        <v>87362</v>
      </c>
      <c r="N63" s="306">
        <f>+N62-N64</f>
        <v>25092</v>
      </c>
      <c r="O63" s="305">
        <f t="shared" si="22"/>
        <v>62270</v>
      </c>
      <c r="P63" s="305">
        <f t="shared" si="23"/>
        <v>9798</v>
      </c>
    </row>
    <row r="64" spans="1:16" s="151" customFormat="1" ht="16.5" customHeight="1">
      <c r="A64" s="146"/>
      <c r="B64" s="149" t="s">
        <v>961</v>
      </c>
      <c r="C64" s="180"/>
      <c r="D64" s="180"/>
      <c r="E64" s="180"/>
      <c r="F64" s="180"/>
      <c r="G64" s="180">
        <f>12500+90000</f>
        <v>102500</v>
      </c>
      <c r="H64" s="180">
        <f>G64-(L64-M64)</f>
        <v>100229</v>
      </c>
      <c r="I64" s="181"/>
      <c r="J64" s="181"/>
      <c r="L64" s="306">
        <f>17135+76577</f>
        <v>93712</v>
      </c>
      <c r="M64" s="306">
        <f>14864+76577</f>
        <v>91441</v>
      </c>
      <c r="N64" s="306">
        <f>4671+76557</f>
        <v>81228</v>
      </c>
      <c r="O64" s="305">
        <f t="shared" si="22"/>
        <v>10213</v>
      </c>
      <c r="P64" s="305">
        <f t="shared" si="23"/>
        <v>2271</v>
      </c>
    </row>
    <row r="65" spans="1:16" ht="16.5" customHeight="1">
      <c r="A65" s="59">
        <v>17</v>
      </c>
      <c r="B65" s="60" t="s">
        <v>368</v>
      </c>
      <c r="C65" s="109">
        <v>26000</v>
      </c>
      <c r="D65" s="109">
        <f>C65</f>
        <v>26000</v>
      </c>
      <c r="E65" s="109">
        <v>26000</v>
      </c>
      <c r="F65" s="109">
        <f>E65</f>
        <v>26000</v>
      </c>
      <c r="G65" s="109">
        <v>27750</v>
      </c>
      <c r="H65" s="109">
        <f>G65</f>
        <v>27750</v>
      </c>
      <c r="I65" s="126">
        <f t="shared" si="15"/>
        <v>1.0673076923076923</v>
      </c>
      <c r="J65" s="126">
        <f t="shared" si="16"/>
        <v>1.0673076923076923</v>
      </c>
      <c r="L65" s="105">
        <v>22467</v>
      </c>
      <c r="M65" s="105">
        <v>22467</v>
      </c>
      <c r="N65" s="105"/>
      <c r="O65" s="305">
        <f t="shared" si="22"/>
        <v>22467</v>
      </c>
      <c r="P65" s="305">
        <f t="shared" si="23"/>
        <v>0</v>
      </c>
    </row>
    <row r="66" spans="1:16" ht="16.5" customHeight="1">
      <c r="A66" s="59">
        <v>18</v>
      </c>
      <c r="B66" s="60" t="s">
        <v>916</v>
      </c>
      <c r="C66" s="109">
        <v>10000</v>
      </c>
      <c r="D66" s="109">
        <f>C66</f>
        <v>10000</v>
      </c>
      <c r="E66" s="109">
        <v>10000</v>
      </c>
      <c r="F66" s="109">
        <f>E66</f>
        <v>10000</v>
      </c>
      <c r="G66" s="109">
        <v>84000</v>
      </c>
      <c r="H66" s="109">
        <f>G66</f>
        <v>84000</v>
      </c>
      <c r="I66" s="126">
        <f t="shared" si="15"/>
        <v>8.4</v>
      </c>
      <c r="J66" s="126">
        <f t="shared" si="16"/>
        <v>8.4</v>
      </c>
      <c r="L66" s="105">
        <v>83548</v>
      </c>
      <c r="M66" s="105">
        <f>+L66</f>
        <v>83548</v>
      </c>
      <c r="N66" s="105">
        <f>+M66</f>
        <v>83548</v>
      </c>
      <c r="O66" s="305">
        <f t="shared" si="22"/>
        <v>0</v>
      </c>
      <c r="P66" s="305">
        <f t="shared" si="23"/>
        <v>0</v>
      </c>
    </row>
    <row r="67" spans="1:16" ht="45">
      <c r="A67" s="59">
        <v>19</v>
      </c>
      <c r="B67" s="60" t="s">
        <v>1276</v>
      </c>
      <c r="C67" s="109"/>
      <c r="D67" s="109"/>
      <c r="E67" s="109"/>
      <c r="F67" s="109"/>
      <c r="G67" s="109"/>
      <c r="H67" s="109"/>
      <c r="I67" s="126"/>
      <c r="J67" s="126"/>
      <c r="L67" s="105"/>
      <c r="M67" s="105"/>
      <c r="N67" s="105"/>
      <c r="O67" s="305">
        <f t="shared" si="22"/>
        <v>0</v>
      </c>
      <c r="P67" s="305">
        <f t="shared" si="23"/>
        <v>0</v>
      </c>
    </row>
    <row r="68" spans="1:16" ht="16.5" customHeight="1">
      <c r="A68" s="59">
        <v>20</v>
      </c>
      <c r="B68" s="60" t="s">
        <v>1277</v>
      </c>
      <c r="C68" s="109"/>
      <c r="D68" s="109"/>
      <c r="E68" s="109"/>
      <c r="F68" s="109"/>
      <c r="G68" s="109"/>
      <c r="H68" s="109"/>
      <c r="I68" s="126"/>
      <c r="J68" s="126"/>
      <c r="L68" s="105"/>
      <c r="M68" s="105"/>
      <c r="N68" s="105"/>
      <c r="O68" s="305">
        <f t="shared" si="22"/>
        <v>0</v>
      </c>
      <c r="P68" s="305">
        <f t="shared" si="23"/>
        <v>0</v>
      </c>
    </row>
    <row r="69" spans="1:16" s="114" customFormat="1" ht="16.5" customHeight="1">
      <c r="A69" s="57" t="s">
        <v>70</v>
      </c>
      <c r="B69" s="58" t="s">
        <v>273</v>
      </c>
      <c r="C69" s="110"/>
      <c r="D69" s="110"/>
      <c r="E69" s="110"/>
      <c r="F69" s="110"/>
      <c r="G69" s="110"/>
      <c r="H69" s="110"/>
      <c r="I69" s="125"/>
      <c r="J69" s="125"/>
      <c r="L69" s="179"/>
      <c r="M69" s="179"/>
      <c r="N69" s="179"/>
      <c r="O69" s="179"/>
    </row>
    <row r="70" spans="1:16" s="114" customFormat="1" ht="16.5" customHeight="1">
      <c r="A70" s="57" t="s">
        <v>73</v>
      </c>
      <c r="B70" s="58" t="s">
        <v>371</v>
      </c>
      <c r="C70" s="110">
        <f>C71+C72+C73+C74+C75+C76</f>
        <v>1905000</v>
      </c>
      <c r="D70" s="110">
        <f>D71+D72+D73+D74+D75+D76</f>
        <v>0</v>
      </c>
      <c r="E70" s="110">
        <f>E71+E72+E73+E74+E75+E76</f>
        <v>1905000</v>
      </c>
      <c r="F70" s="110">
        <f>F71+F72+F73+F74+F75+F76</f>
        <v>0</v>
      </c>
      <c r="G70" s="110">
        <v>1905000</v>
      </c>
      <c r="H70" s="110">
        <f>H71+H72+H73+H74+H75+H76</f>
        <v>0</v>
      </c>
      <c r="I70" s="125">
        <f t="shared" si="15"/>
        <v>1</v>
      </c>
      <c r="J70" s="125"/>
      <c r="L70" s="179"/>
      <c r="M70" s="179"/>
      <c r="N70" s="179"/>
      <c r="O70" s="179"/>
    </row>
    <row r="71" spans="1:16" ht="16.5" customHeight="1">
      <c r="A71" s="59">
        <v>1</v>
      </c>
      <c r="B71" s="60" t="s">
        <v>372</v>
      </c>
      <c r="C71" s="109">
        <v>1605000</v>
      </c>
      <c r="D71" s="109"/>
      <c r="E71" s="109">
        <v>1605000</v>
      </c>
      <c r="F71" s="109"/>
      <c r="G71" s="109"/>
      <c r="H71" s="109"/>
      <c r="I71" s="126"/>
      <c r="J71" s="126"/>
      <c r="L71" s="105"/>
      <c r="M71" s="105"/>
      <c r="N71" s="105"/>
      <c r="O71" s="105"/>
    </row>
    <row r="72" spans="1:16" ht="16.5" customHeight="1">
      <c r="A72" s="59">
        <v>2</v>
      </c>
      <c r="B72" s="60" t="s">
        <v>373</v>
      </c>
      <c r="C72" s="109">
        <v>2000</v>
      </c>
      <c r="D72" s="109"/>
      <c r="E72" s="109">
        <v>2000</v>
      </c>
      <c r="F72" s="109"/>
      <c r="G72" s="109"/>
      <c r="H72" s="109"/>
      <c r="I72" s="126"/>
      <c r="J72" s="126"/>
      <c r="L72" s="105"/>
      <c r="M72" s="105"/>
      <c r="N72" s="105"/>
      <c r="O72" s="105"/>
    </row>
    <row r="73" spans="1:16" ht="16.5" customHeight="1">
      <c r="A73" s="59">
        <v>3</v>
      </c>
      <c r="B73" s="60" t="s">
        <v>374</v>
      </c>
      <c r="C73" s="109">
        <v>295000</v>
      </c>
      <c r="D73" s="109"/>
      <c r="E73" s="109">
        <v>295000</v>
      </c>
      <c r="F73" s="109"/>
      <c r="G73" s="109"/>
      <c r="H73" s="109"/>
      <c r="I73" s="126"/>
      <c r="J73" s="126"/>
      <c r="L73" s="105"/>
      <c r="M73" s="105"/>
      <c r="N73" s="105"/>
      <c r="O73" s="105"/>
    </row>
    <row r="74" spans="1:16" ht="16.5" customHeight="1">
      <c r="A74" s="59">
        <v>4</v>
      </c>
      <c r="B74" s="60" t="s">
        <v>375</v>
      </c>
      <c r="C74" s="109">
        <v>1000</v>
      </c>
      <c r="D74" s="109"/>
      <c r="E74" s="109">
        <v>1000</v>
      </c>
      <c r="F74" s="109"/>
      <c r="G74" s="109"/>
      <c r="H74" s="109"/>
      <c r="I74" s="126"/>
      <c r="J74" s="126"/>
      <c r="L74" s="105"/>
      <c r="M74" s="105"/>
      <c r="N74" s="105"/>
      <c r="O74" s="105"/>
    </row>
    <row r="75" spans="1:16" ht="16.5" customHeight="1">
      <c r="A75" s="59">
        <v>5</v>
      </c>
      <c r="B75" s="60" t="s">
        <v>376</v>
      </c>
      <c r="C75" s="109">
        <v>2000</v>
      </c>
      <c r="D75" s="109"/>
      <c r="E75" s="109">
        <v>2000</v>
      </c>
      <c r="F75" s="109"/>
      <c r="G75" s="109"/>
      <c r="H75" s="109"/>
      <c r="I75" s="126"/>
      <c r="J75" s="126"/>
      <c r="L75" s="105"/>
      <c r="M75" s="105"/>
      <c r="N75" s="105"/>
      <c r="O75" s="105"/>
    </row>
    <row r="76" spans="1:16" ht="16.5" customHeight="1">
      <c r="A76" s="59">
        <v>6</v>
      </c>
      <c r="B76" s="60" t="s">
        <v>377</v>
      </c>
      <c r="C76" s="109"/>
      <c r="D76" s="109"/>
      <c r="E76" s="109"/>
      <c r="F76" s="109"/>
      <c r="G76" s="109"/>
      <c r="H76" s="109"/>
      <c r="I76" s="126"/>
      <c r="J76" s="126"/>
      <c r="L76" s="105"/>
      <c r="M76" s="105"/>
      <c r="N76" s="105"/>
      <c r="O76" s="105"/>
    </row>
    <row r="77" spans="1:16" ht="16.5" customHeight="1">
      <c r="A77" s="61" t="s">
        <v>77</v>
      </c>
      <c r="B77" s="62" t="s">
        <v>378</v>
      </c>
      <c r="C77" s="112"/>
      <c r="D77" s="112"/>
      <c r="E77" s="112"/>
      <c r="F77" s="112"/>
      <c r="G77" s="112"/>
      <c r="H77" s="112"/>
      <c r="I77" s="128"/>
      <c r="J77" s="128"/>
      <c r="L77" s="105"/>
      <c r="M77" s="105"/>
      <c r="N77" s="105"/>
      <c r="O77" s="105"/>
    </row>
    <row r="78" spans="1:16" ht="16.5" customHeight="1">
      <c r="A78" s="16" t="s">
        <v>276</v>
      </c>
      <c r="L78" s="105"/>
      <c r="M78" s="105"/>
      <c r="N78" s="105"/>
      <c r="O78" s="105"/>
    </row>
    <row r="79" spans="1:16" ht="36" customHeight="1">
      <c r="A79" s="709" t="s">
        <v>381</v>
      </c>
      <c r="B79" s="709"/>
      <c r="C79" s="709"/>
      <c r="D79" s="709"/>
      <c r="E79" s="709"/>
      <c r="F79" s="709"/>
      <c r="G79" s="709"/>
      <c r="H79" s="709"/>
      <c r="I79" s="709"/>
      <c r="J79" s="709"/>
      <c r="L79" s="105"/>
      <c r="M79" s="105"/>
      <c r="N79" s="105"/>
      <c r="O79" s="105"/>
    </row>
    <row r="80" spans="1:16" ht="36" customHeight="1">
      <c r="A80" s="709" t="s">
        <v>382</v>
      </c>
      <c r="B80" s="709"/>
      <c r="C80" s="709"/>
      <c r="D80" s="709"/>
      <c r="E80" s="709"/>
      <c r="F80" s="709"/>
      <c r="G80" s="709"/>
      <c r="H80" s="709"/>
      <c r="I80" s="709"/>
      <c r="J80" s="709"/>
      <c r="L80" s="105"/>
      <c r="M80" s="105"/>
      <c r="N80" s="105"/>
      <c r="O80" s="105"/>
    </row>
    <row r="81" spans="1:15" ht="36" customHeight="1">
      <c r="A81" s="709" t="s">
        <v>383</v>
      </c>
      <c r="B81" s="709"/>
      <c r="C81" s="709"/>
      <c r="D81" s="709"/>
      <c r="E81" s="709"/>
      <c r="F81" s="709"/>
      <c r="G81" s="709"/>
      <c r="H81" s="709"/>
      <c r="I81" s="709"/>
      <c r="J81" s="709"/>
      <c r="L81" s="105"/>
      <c r="M81" s="105"/>
      <c r="N81" s="105"/>
      <c r="O81" s="105"/>
    </row>
    <row r="82" spans="1:15" ht="36" customHeight="1">
      <c r="A82" s="709" t="s">
        <v>379</v>
      </c>
      <c r="B82" s="709"/>
      <c r="C82" s="709"/>
      <c r="D82" s="709"/>
      <c r="E82" s="709"/>
      <c r="F82" s="709"/>
      <c r="G82" s="709"/>
      <c r="H82" s="709"/>
      <c r="I82" s="709"/>
      <c r="J82" s="709"/>
      <c r="L82" s="105"/>
      <c r="M82" s="105"/>
      <c r="N82" s="105"/>
      <c r="O82" s="105"/>
    </row>
    <row r="83" spans="1:15" ht="66.75" customHeight="1">
      <c r="A83" s="709" t="s">
        <v>380</v>
      </c>
      <c r="B83" s="709"/>
      <c r="C83" s="709"/>
      <c r="D83" s="709"/>
      <c r="E83" s="709"/>
      <c r="F83" s="709"/>
      <c r="G83" s="709"/>
      <c r="H83" s="709"/>
      <c r="I83" s="709"/>
      <c r="J83" s="709"/>
      <c r="L83" s="105"/>
      <c r="M83" s="105"/>
      <c r="N83" s="105"/>
      <c r="O83" s="105"/>
    </row>
    <row r="84" spans="1:15" ht="16.5" customHeight="1">
      <c r="L84" s="105"/>
      <c r="M84" s="105"/>
      <c r="N84" s="105"/>
      <c r="O84" s="105"/>
    </row>
    <row r="85" spans="1:15" ht="16.5" customHeight="1">
      <c r="B85" s="134">
        <v>1</v>
      </c>
      <c r="D85" s="105">
        <f>+D8-D86</f>
        <v>2099185</v>
      </c>
      <c r="F85" s="105">
        <f>+F8-F86</f>
        <v>2171085</v>
      </c>
      <c r="H85" s="105">
        <f>+H8-H86</f>
        <v>3608545.3123500012</v>
      </c>
    </row>
    <row r="86" spans="1:15" ht="16.5" customHeight="1">
      <c r="B86" s="135" t="s">
        <v>885</v>
      </c>
      <c r="D86" s="105">
        <f>D13+D14+D15+D18+D19+D23+D24+D25+D30+D31+D32+D35+D37</f>
        <v>6957150</v>
      </c>
      <c r="F86" s="105">
        <f>F13+F14+F15+F18+F19+F23+F24+F25+F30+F31+F32+F35+F37</f>
        <v>6935250</v>
      </c>
      <c r="H86" s="105">
        <f>H13+H14+H15+H18+H19+H23+H24+H25+H30+H31+H32+H35+H37</f>
        <v>6193230</v>
      </c>
    </row>
  </sheetData>
  <customSheetViews>
    <customSheetView guid="{9F606621-8853-4836-9A7E-DBA5CF152671}" scale="75" showPageBreaks="1" hiddenRows="1" state="hidden">
      <pane xSplit="2" ySplit="7" topLeftCell="C29" activePane="bottomRight" state="frozen"/>
      <selection pane="bottomRight" activeCell="G50" sqref="G50"/>
      <pageMargins left="0.7" right="0.7" top="0.75" bottom="0.75" header="0.3" footer="0.3"/>
      <pageSetup orientation="portrait" r:id="rId1"/>
    </customSheetView>
    <customSheetView guid="{DB9039ED-C6EA-422D-9A5D-D152D95EDC67}" showPageBreaks="1" printArea="1" hiddenRows="1" hiddenColumns="1">
      <selection activeCell="J18" sqref="J18"/>
      <pageMargins left="0.9055118110236221" right="0.51181102362204722" top="0.74803149606299213" bottom="0.74803149606299213" header="0.31496062992125984" footer="0.31496062992125984"/>
      <printOptions horizontalCentered="1"/>
      <pageSetup paperSize="9" scale="70" orientation="portrait" blackAndWhite="1" r:id="rId2"/>
    </customSheetView>
  </customSheetViews>
  <mergeCells count="16">
    <mergeCell ref="L5:M5"/>
    <mergeCell ref="A80:J80"/>
    <mergeCell ref="A81:J81"/>
    <mergeCell ref="A82:J82"/>
    <mergeCell ref="A83:J83"/>
    <mergeCell ref="A79:J79"/>
    <mergeCell ref="A1:J1"/>
    <mergeCell ref="A2:J2"/>
    <mergeCell ref="A3:J3"/>
    <mergeCell ref="I4:J4"/>
    <mergeCell ref="A5:A6"/>
    <mergeCell ref="B5:B6"/>
    <mergeCell ref="E5:F5"/>
    <mergeCell ref="G5:H5"/>
    <mergeCell ref="I5:J5"/>
    <mergeCell ref="C5:D5"/>
  </mergeCell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dimension ref="A1:I69"/>
  <sheetViews>
    <sheetView zoomScale="75" zoomScaleNormal="85" workbookViewId="0">
      <selection activeCell="H5" sqref="A5:XFD7"/>
    </sheetView>
  </sheetViews>
  <sheetFormatPr defaultColWidth="9.140625" defaultRowHeight="15"/>
  <cols>
    <col min="1" max="1" width="6.140625" style="1" customWidth="1"/>
    <col min="2" max="2" width="49" style="1" customWidth="1"/>
    <col min="3" max="3" width="11.28515625" style="151" customWidth="1"/>
    <col min="4" max="4" width="11.7109375" style="1" customWidth="1"/>
    <col min="5" max="5" width="11.140625" style="1" customWidth="1"/>
    <col min="6" max="6" width="10.5703125" style="1" customWidth="1"/>
    <col min="7" max="7" width="10.140625" style="1" customWidth="1"/>
    <col min="8" max="16384" width="9.140625" style="1"/>
  </cols>
  <sheetData>
    <row r="1" spans="1:9">
      <c r="A1" s="706" t="s">
        <v>384</v>
      </c>
      <c r="B1" s="706"/>
      <c r="C1" s="706"/>
      <c r="D1" s="706"/>
      <c r="E1" s="706"/>
      <c r="F1" s="706"/>
      <c r="G1" s="706"/>
    </row>
    <row r="2" spans="1:9" ht="31.9" customHeight="1">
      <c r="A2" s="701" t="s">
        <v>819</v>
      </c>
      <c r="B2" s="701"/>
      <c r="C2" s="701"/>
      <c r="D2" s="701"/>
      <c r="E2" s="701"/>
      <c r="F2" s="701"/>
      <c r="G2" s="701"/>
    </row>
    <row r="3" spans="1:9">
      <c r="A3" s="707"/>
      <c r="B3" s="707"/>
      <c r="C3" s="707"/>
      <c r="D3" s="707"/>
      <c r="E3" s="707"/>
      <c r="F3" s="707"/>
      <c r="G3" s="707"/>
    </row>
    <row r="4" spans="1:9">
      <c r="F4" s="708" t="s">
        <v>56</v>
      </c>
      <c r="G4" s="708"/>
    </row>
    <row r="5" spans="1:9">
      <c r="A5" s="705" t="s">
        <v>3</v>
      </c>
      <c r="B5" s="705" t="s">
        <v>4</v>
      </c>
      <c r="C5" s="729" t="s">
        <v>884</v>
      </c>
      <c r="D5" s="705" t="s">
        <v>871</v>
      </c>
      <c r="E5" s="705" t="s">
        <v>788</v>
      </c>
      <c r="F5" s="705" t="s">
        <v>226</v>
      </c>
      <c r="G5" s="705"/>
    </row>
    <row r="6" spans="1:9" ht="28.5">
      <c r="A6" s="705"/>
      <c r="B6" s="705"/>
      <c r="C6" s="729"/>
      <c r="D6" s="705"/>
      <c r="E6" s="705"/>
      <c r="F6" s="7" t="s">
        <v>227</v>
      </c>
      <c r="G6" s="7" t="s">
        <v>385</v>
      </c>
    </row>
    <row r="7" spans="1:9">
      <c r="A7" s="7" t="s">
        <v>15</v>
      </c>
      <c r="B7" s="7" t="s">
        <v>16</v>
      </c>
      <c r="C7" s="161">
        <v>1</v>
      </c>
      <c r="D7" s="7">
        <v>2</v>
      </c>
      <c r="E7" s="7">
        <v>3</v>
      </c>
      <c r="F7" s="7" t="s">
        <v>1184</v>
      </c>
      <c r="G7" s="7" t="s">
        <v>349</v>
      </c>
    </row>
    <row r="8" spans="1:9" s="114" customFormat="1" ht="14.25">
      <c r="A8" s="55"/>
      <c r="B8" s="56" t="s">
        <v>90</v>
      </c>
      <c r="C8" s="162">
        <f>C9+C47+C68</f>
        <v>9850155</v>
      </c>
      <c r="D8" s="136" t="e">
        <f>D9+D47+D68</f>
        <v>#REF!</v>
      </c>
      <c r="E8" s="136">
        <f>E9+E47+E68</f>
        <v>10974713.363262333</v>
      </c>
      <c r="F8" s="136" t="e">
        <f t="shared" ref="F8:F14" si="0">E8-D8</f>
        <v>#REF!</v>
      </c>
      <c r="G8" s="139" t="e">
        <f>E8/D8</f>
        <v>#REF!</v>
      </c>
      <c r="I8" s="114">
        <f>E8/C8</f>
        <v>1.1141665652228145</v>
      </c>
    </row>
    <row r="9" spans="1:9" s="114" customFormat="1" ht="14.25">
      <c r="A9" s="57" t="s">
        <v>15</v>
      </c>
      <c r="B9" s="58" t="s">
        <v>386</v>
      </c>
      <c r="C9" s="163">
        <f>C10+C25+C43+C44+C45+C46</f>
        <v>9322352</v>
      </c>
      <c r="D9" s="137">
        <f>D10+D25+D43+D44+D45+D46</f>
        <v>9249318</v>
      </c>
      <c r="E9" s="137">
        <f>E10+E25+E43+E44+E45+E46</f>
        <v>9950737.1872623339</v>
      </c>
      <c r="F9" s="137">
        <f t="shared" si="0"/>
        <v>701419.18726233393</v>
      </c>
      <c r="G9" s="140">
        <f t="shared" ref="G9:G52" si="1">E9/D9</f>
        <v>1.075834692597047</v>
      </c>
      <c r="I9" s="114">
        <f>E9/C9</f>
        <v>1.0674062926675945</v>
      </c>
    </row>
    <row r="10" spans="1:9" s="114" customFormat="1" ht="14.25">
      <c r="A10" s="57" t="s">
        <v>83</v>
      </c>
      <c r="B10" s="58" t="s">
        <v>340</v>
      </c>
      <c r="C10" s="137">
        <f>+C15</f>
        <v>2275790</v>
      </c>
      <c r="D10" s="137">
        <f>+D15</f>
        <v>2194840</v>
      </c>
      <c r="E10" s="137">
        <f>+E15</f>
        <v>2988610.5812999997</v>
      </c>
      <c r="F10" s="137">
        <f t="shared" si="0"/>
        <v>793770.58129999973</v>
      </c>
      <c r="G10" s="140">
        <f t="shared" si="1"/>
        <v>1.3616530504729274</v>
      </c>
      <c r="I10" s="114">
        <f t="shared" ref="I10:I23" si="2">E10/C10</f>
        <v>1.3132189618989449</v>
      </c>
    </row>
    <row r="11" spans="1:9">
      <c r="A11" s="83">
        <v>1</v>
      </c>
      <c r="B11" s="60" t="s">
        <v>387</v>
      </c>
      <c r="C11" s="148"/>
      <c r="D11" s="108">
        <f>D15</f>
        <v>2194840</v>
      </c>
      <c r="E11" s="108">
        <f>+E15</f>
        <v>2988610.5812999997</v>
      </c>
      <c r="F11" s="108">
        <f t="shared" si="0"/>
        <v>793770.58129999973</v>
      </c>
      <c r="G11" s="141"/>
      <c r="I11" s="114" t="e">
        <f t="shared" si="2"/>
        <v>#DIV/0!</v>
      </c>
    </row>
    <row r="12" spans="1:9">
      <c r="A12" s="83"/>
      <c r="B12" s="64" t="s">
        <v>388</v>
      </c>
      <c r="C12" s="148"/>
      <c r="D12" s="108"/>
      <c r="E12" s="108"/>
      <c r="F12" s="108">
        <f t="shared" si="0"/>
        <v>0</v>
      </c>
      <c r="G12" s="141"/>
      <c r="I12" s="114" t="e">
        <f t="shared" si="2"/>
        <v>#DIV/0!</v>
      </c>
    </row>
    <row r="13" spans="1:9">
      <c r="A13" s="83" t="s">
        <v>22</v>
      </c>
      <c r="B13" s="64" t="s">
        <v>389</v>
      </c>
      <c r="C13" s="148"/>
      <c r="D13" s="108"/>
      <c r="E13" s="108"/>
      <c r="F13" s="108">
        <f t="shared" si="0"/>
        <v>0</v>
      </c>
      <c r="G13" s="141"/>
      <c r="I13" s="114" t="e">
        <f t="shared" si="2"/>
        <v>#DIV/0!</v>
      </c>
    </row>
    <row r="14" spans="1:9">
      <c r="A14" s="83" t="s">
        <v>22</v>
      </c>
      <c r="B14" s="64" t="s">
        <v>390</v>
      </c>
      <c r="C14" s="148"/>
      <c r="D14" s="108"/>
      <c r="E14" s="108"/>
      <c r="F14" s="108">
        <f t="shared" si="0"/>
        <v>0</v>
      </c>
      <c r="G14" s="141"/>
      <c r="I14" s="114" t="e">
        <f t="shared" si="2"/>
        <v>#DIV/0!</v>
      </c>
    </row>
    <row r="15" spans="1:9">
      <c r="A15" s="83"/>
      <c r="B15" s="64" t="s">
        <v>391</v>
      </c>
      <c r="C15" s="148">
        <f>SUM(C16:C19)</f>
        <v>2275790</v>
      </c>
      <c r="D15" s="108">
        <f>SUM(D16:D19)</f>
        <v>2194840</v>
      </c>
      <c r="E15" s="108">
        <f>SUM(E16:E19)</f>
        <v>2988610.5812999997</v>
      </c>
      <c r="F15" s="108">
        <f>SUM(F16:F19)</f>
        <v>335654.5</v>
      </c>
      <c r="G15" s="141">
        <f t="shared" si="1"/>
        <v>1.3616530504729274</v>
      </c>
      <c r="I15" s="114">
        <f t="shared" si="2"/>
        <v>1.3132189618989449</v>
      </c>
    </row>
    <row r="16" spans="1:9" s="490" customFormat="1">
      <c r="A16" s="184" t="s">
        <v>22</v>
      </c>
      <c r="B16" s="488" t="s">
        <v>894</v>
      </c>
      <c r="C16" s="186">
        <v>955790</v>
      </c>
      <c r="D16" s="186">
        <f>629840+200000</f>
        <v>829840</v>
      </c>
      <c r="E16" s="186">
        <f>+'22 - DG chi T+H2017'!F16</f>
        <v>829840</v>
      </c>
      <c r="F16" s="186">
        <f>E16-D16</f>
        <v>0</v>
      </c>
      <c r="G16" s="489"/>
      <c r="I16" s="114">
        <f t="shared" si="2"/>
        <v>0.86822419150650243</v>
      </c>
    </row>
    <row r="17" spans="1:9" s="490" customFormat="1">
      <c r="A17" s="184" t="s">
        <v>22</v>
      </c>
      <c r="B17" s="488" t="s">
        <v>392</v>
      </c>
      <c r="C17" s="186">
        <v>200000</v>
      </c>
      <c r="D17" s="186">
        <v>245000</v>
      </c>
      <c r="E17" s="186">
        <f>+'22 - DG chi T+H2017'!F17</f>
        <v>580654.5</v>
      </c>
      <c r="F17" s="186">
        <f>E17-D17</f>
        <v>335654.5</v>
      </c>
      <c r="G17" s="489">
        <f t="shared" si="1"/>
        <v>2.3700183673469386</v>
      </c>
      <c r="I17" s="114">
        <f t="shared" si="2"/>
        <v>2.9032724999999999</v>
      </c>
    </row>
    <row r="18" spans="1:9" s="490" customFormat="1">
      <c r="A18" s="184" t="s">
        <v>22</v>
      </c>
      <c r="B18" s="488" t="s">
        <v>393</v>
      </c>
      <c r="C18" s="186">
        <v>1120000</v>
      </c>
      <c r="D18" s="186">
        <v>1120000</v>
      </c>
      <c r="E18" s="186">
        <f>+'22 - DG chi T+H2017'!F18</f>
        <v>1120000</v>
      </c>
      <c r="F18" s="186">
        <f>E18-D18</f>
        <v>0</v>
      </c>
      <c r="G18" s="489">
        <f t="shared" si="1"/>
        <v>1</v>
      </c>
      <c r="I18" s="114">
        <f t="shared" si="2"/>
        <v>1</v>
      </c>
    </row>
    <row r="19" spans="1:9" s="490" customFormat="1">
      <c r="A19" s="184" t="s">
        <v>22</v>
      </c>
      <c r="B19" s="488" t="s">
        <v>911</v>
      </c>
      <c r="C19" s="186"/>
      <c r="D19" s="186"/>
      <c r="E19" s="186">
        <f>+'22 - DG chi T+H2017'!F19</f>
        <v>458116.08129999996</v>
      </c>
      <c r="F19" s="186"/>
      <c r="G19" s="489"/>
      <c r="I19" s="114" t="e">
        <f t="shared" si="2"/>
        <v>#DIV/0!</v>
      </c>
    </row>
    <row r="20" spans="1:9" s="151" customFormat="1">
      <c r="A20" s="146"/>
      <c r="B20" s="147" t="s">
        <v>912</v>
      </c>
      <c r="C20" s="148"/>
      <c r="D20" s="148"/>
      <c r="E20" s="148">
        <f>+'22 - DG chi T+H2017'!F20</f>
        <v>0</v>
      </c>
      <c r="F20" s="148"/>
      <c r="G20" s="150"/>
      <c r="I20" s="114" t="e">
        <f t="shared" si="2"/>
        <v>#DIV/0!</v>
      </c>
    </row>
    <row r="21" spans="1:9" s="151" customFormat="1">
      <c r="A21" s="146"/>
      <c r="B21" s="147" t="s">
        <v>913</v>
      </c>
      <c r="C21" s="148"/>
      <c r="D21" s="148"/>
      <c r="E21" s="148">
        <f>+'22 - DG chi T+H2017'!F21</f>
        <v>0</v>
      </c>
      <c r="F21" s="148"/>
      <c r="G21" s="150"/>
      <c r="I21" s="114" t="e">
        <f t="shared" si="2"/>
        <v>#DIV/0!</v>
      </c>
    </row>
    <row r="22" spans="1:9" s="151" customFormat="1">
      <c r="A22" s="146"/>
      <c r="B22" s="147" t="s">
        <v>914</v>
      </c>
      <c r="C22" s="148"/>
      <c r="D22" s="148"/>
      <c r="E22" s="148">
        <f>+'22 - DG chi T+H2017'!F22</f>
        <v>0</v>
      </c>
      <c r="F22" s="148"/>
      <c r="G22" s="150"/>
      <c r="I22" s="114" t="e">
        <f t="shared" si="2"/>
        <v>#DIV/0!</v>
      </c>
    </row>
    <row r="23" spans="1:9" ht="60">
      <c r="A23" s="83">
        <v>2</v>
      </c>
      <c r="B23" s="60" t="s">
        <v>394</v>
      </c>
      <c r="C23" s="148"/>
      <c r="D23" s="108"/>
      <c r="E23" s="148">
        <f>+'22 - DG chi T+H2017'!F25</f>
        <v>0</v>
      </c>
      <c r="F23" s="108">
        <f>E23-D23</f>
        <v>0</v>
      </c>
      <c r="G23" s="141"/>
      <c r="I23" s="114" t="e">
        <f t="shared" si="2"/>
        <v>#DIV/0!</v>
      </c>
    </row>
    <row r="24" spans="1:9">
      <c r="A24" s="83">
        <v>3</v>
      </c>
      <c r="B24" s="60" t="s">
        <v>395</v>
      </c>
      <c r="C24" s="148"/>
      <c r="D24" s="108"/>
      <c r="E24" s="148">
        <f>+'22 - DG chi T+H2017'!F26</f>
        <v>0</v>
      </c>
      <c r="F24" s="108">
        <f>E24-D24</f>
        <v>0</v>
      </c>
      <c r="G24" s="141"/>
    </row>
    <row r="25" spans="1:9" s="114" customFormat="1" ht="14.25">
      <c r="A25" s="57" t="s">
        <v>70</v>
      </c>
      <c r="B25" s="58" t="s">
        <v>96</v>
      </c>
      <c r="C25" s="163">
        <v>6861302</v>
      </c>
      <c r="D25" s="137">
        <f>D27+D30+D31+D34+D35+D36+D37+D38+D39+D40+D41+D42</f>
        <v>6861302</v>
      </c>
      <c r="E25" s="137">
        <f>E27+E30+E31+E34+E35+E36+E37+E38+E39+E40+E41+E42</f>
        <v>6955083.6059623342</v>
      </c>
      <c r="F25" s="137">
        <f>F27+F30+F31+F34+F35+F36+F37+F38+F39+F40+F41+F42</f>
        <v>93781.605962333255</v>
      </c>
      <c r="G25" s="140">
        <f t="shared" si="1"/>
        <v>1.013668193873748</v>
      </c>
    </row>
    <row r="26" spans="1:9">
      <c r="A26" s="83"/>
      <c r="B26" s="64" t="s">
        <v>134</v>
      </c>
      <c r="C26" s="148"/>
      <c r="D26" s="108"/>
      <c r="E26" s="108"/>
      <c r="F26" s="108">
        <f t="shared" ref="F26:F46" si="3">E26-D26</f>
        <v>0</v>
      </c>
      <c r="G26" s="141"/>
    </row>
    <row r="27" spans="1:9">
      <c r="A27" s="83">
        <v>1</v>
      </c>
      <c r="B27" s="64" t="s">
        <v>389</v>
      </c>
      <c r="C27" s="148">
        <v>2832548</v>
      </c>
      <c r="D27" s="108">
        <v>2832548</v>
      </c>
      <c r="E27" s="148">
        <f>+'22 - DG chi T+H2017'!F29</f>
        <v>2689764.8416666668</v>
      </c>
      <c r="F27" s="108">
        <f t="shared" si="3"/>
        <v>-142783.15833333321</v>
      </c>
      <c r="G27" s="141">
        <f>E27/D27</f>
        <v>0.94959197219841174</v>
      </c>
    </row>
    <row r="28" spans="1:9" s="151" customFormat="1">
      <c r="A28" s="146"/>
      <c r="B28" s="147" t="s">
        <v>905</v>
      </c>
      <c r="C28" s="148"/>
      <c r="D28" s="148">
        <v>2641573</v>
      </c>
      <c r="E28" s="148">
        <f>+'22 - DG chi T+H2017'!F30</f>
        <v>2650279.541666667</v>
      </c>
      <c r="F28" s="108">
        <f t="shared" si="3"/>
        <v>8706.5416666669771</v>
      </c>
      <c r="G28" s="141">
        <f t="shared" ref="G28:G42" si="4">E28/D28</f>
        <v>1.0032959686015366</v>
      </c>
    </row>
    <row r="29" spans="1:9" s="151" customFormat="1">
      <c r="A29" s="146"/>
      <c r="B29" s="147" t="s">
        <v>906</v>
      </c>
      <c r="C29" s="148"/>
      <c r="D29" s="148">
        <f>+D27-D28</f>
        <v>190975</v>
      </c>
      <c r="E29" s="148">
        <f>+'22 - DG chi T+H2017'!F31</f>
        <v>39485.300000000003</v>
      </c>
      <c r="F29" s="108">
        <f t="shared" si="3"/>
        <v>-151489.70000000001</v>
      </c>
      <c r="G29" s="141">
        <f t="shared" si="4"/>
        <v>0.20675638172535674</v>
      </c>
    </row>
    <row r="30" spans="1:9">
      <c r="A30" s="83">
        <v>2</v>
      </c>
      <c r="B30" s="64" t="s">
        <v>390</v>
      </c>
      <c r="C30" s="148">
        <v>25960</v>
      </c>
      <c r="D30" s="108">
        <v>25960</v>
      </c>
      <c r="E30" s="148">
        <f>+'22 - DG chi T+H2017'!F32</f>
        <v>24616.422999999999</v>
      </c>
      <c r="F30" s="108">
        <f t="shared" si="3"/>
        <v>-1343.5770000000011</v>
      </c>
      <c r="G30" s="141">
        <f t="shared" si="4"/>
        <v>0.94824433744221881</v>
      </c>
    </row>
    <row r="31" spans="1:9" s="151" customFormat="1">
      <c r="A31" s="146"/>
      <c r="B31" s="147" t="s">
        <v>895</v>
      </c>
      <c r="C31" s="148"/>
      <c r="D31" s="148">
        <f>+D32+D33</f>
        <v>179037</v>
      </c>
      <c r="E31" s="148">
        <f>+'22 - DG chi T+H2017'!F33</f>
        <v>204340.69494699998</v>
      </c>
      <c r="F31" s="108">
        <f t="shared" si="3"/>
        <v>25303.694946999982</v>
      </c>
      <c r="G31" s="141">
        <f t="shared" si="4"/>
        <v>1.141332210364338</v>
      </c>
    </row>
    <row r="32" spans="1:9" s="151" customFormat="1">
      <c r="A32" s="146"/>
      <c r="B32" s="147" t="s">
        <v>907</v>
      </c>
      <c r="C32" s="148"/>
      <c r="D32" s="148">
        <v>137468</v>
      </c>
      <c r="E32" s="148">
        <f>+'22 - DG chi T+H2017'!F34</f>
        <v>162861.94494700001</v>
      </c>
      <c r="F32" s="108">
        <f t="shared" si="3"/>
        <v>25393.944947000011</v>
      </c>
      <c r="G32" s="141">
        <f t="shared" si="4"/>
        <v>1.1847262268091483</v>
      </c>
    </row>
    <row r="33" spans="1:7" s="151" customFormat="1">
      <c r="A33" s="146"/>
      <c r="B33" s="147" t="s">
        <v>908</v>
      </c>
      <c r="C33" s="148"/>
      <c r="D33" s="148">
        <v>41569</v>
      </c>
      <c r="E33" s="148">
        <f>+'22 - DG chi T+H2017'!F35</f>
        <v>41478.75</v>
      </c>
      <c r="F33" s="108">
        <f t="shared" si="3"/>
        <v>-90.25</v>
      </c>
      <c r="G33" s="141">
        <f t="shared" si="4"/>
        <v>0.99782891096730741</v>
      </c>
    </row>
    <row r="34" spans="1:7" s="151" customFormat="1">
      <c r="A34" s="146"/>
      <c r="B34" s="147" t="s">
        <v>507</v>
      </c>
      <c r="C34" s="148"/>
      <c r="D34" s="148">
        <v>611144</v>
      </c>
      <c r="E34" s="148">
        <f>+'22 - DG chi T+H2017'!F36</f>
        <v>670110.62900999992</v>
      </c>
      <c r="F34" s="108">
        <f t="shared" si="3"/>
        <v>58966.629009999917</v>
      </c>
      <c r="G34" s="141">
        <f t="shared" si="4"/>
        <v>1.0964856547883968</v>
      </c>
    </row>
    <row r="35" spans="1:7" s="151" customFormat="1">
      <c r="A35" s="146"/>
      <c r="B35" s="147" t="s">
        <v>508</v>
      </c>
      <c r="C35" s="148"/>
      <c r="D35" s="148">
        <v>47550</v>
      </c>
      <c r="E35" s="148">
        <f>+'22 - DG chi T+H2017'!F37</f>
        <v>53705.8</v>
      </c>
      <c r="F35" s="108">
        <f t="shared" si="3"/>
        <v>6155.8000000000029</v>
      </c>
      <c r="G35" s="141">
        <f t="shared" si="4"/>
        <v>1.1294595162986332</v>
      </c>
    </row>
    <row r="36" spans="1:7" s="151" customFormat="1">
      <c r="A36" s="146"/>
      <c r="B36" s="147" t="s">
        <v>896</v>
      </c>
      <c r="C36" s="148"/>
      <c r="D36" s="148">
        <v>26657</v>
      </c>
      <c r="E36" s="148">
        <f>+'22 - DG chi T+H2017'!F38</f>
        <v>25843</v>
      </c>
      <c r="F36" s="108">
        <f t="shared" si="3"/>
        <v>-814</v>
      </c>
      <c r="G36" s="141">
        <f t="shared" si="4"/>
        <v>0.96946393067486969</v>
      </c>
    </row>
    <row r="37" spans="1:7" s="151" customFormat="1">
      <c r="A37" s="146"/>
      <c r="B37" s="147" t="s">
        <v>510</v>
      </c>
      <c r="C37" s="148"/>
      <c r="D37" s="148">
        <v>26716</v>
      </c>
      <c r="E37" s="148">
        <f>+'22 - DG chi T+H2017'!F39</f>
        <v>29511.413</v>
      </c>
      <c r="F37" s="108">
        <f t="shared" si="3"/>
        <v>2795.4130000000005</v>
      </c>
      <c r="G37" s="141">
        <f t="shared" si="4"/>
        <v>1.1046344138344064</v>
      </c>
    </row>
    <row r="38" spans="1:7" s="151" customFormat="1">
      <c r="A38" s="146"/>
      <c r="B38" s="147" t="s">
        <v>511</v>
      </c>
      <c r="C38" s="148"/>
      <c r="D38" s="148">
        <v>150930</v>
      </c>
      <c r="E38" s="148">
        <f>+'22 - DG chi T+H2017'!F40</f>
        <v>148475.12299999999</v>
      </c>
      <c r="F38" s="108">
        <f t="shared" si="3"/>
        <v>-2454.8770000000077</v>
      </c>
      <c r="G38" s="141">
        <f t="shared" si="4"/>
        <v>0.98373499635592654</v>
      </c>
    </row>
    <row r="39" spans="1:7" s="151" customFormat="1">
      <c r="A39" s="146"/>
      <c r="B39" s="147" t="s">
        <v>512</v>
      </c>
      <c r="C39" s="148"/>
      <c r="D39" s="148">
        <v>1276139</v>
      </c>
      <c r="E39" s="148">
        <f>+'22 - DG chi T+H2017'!F41</f>
        <v>1326452.209362</v>
      </c>
      <c r="F39" s="108">
        <f t="shared" si="3"/>
        <v>50313.209361999994</v>
      </c>
      <c r="G39" s="141">
        <f t="shared" si="4"/>
        <v>1.0394261200088706</v>
      </c>
    </row>
    <row r="40" spans="1:7" s="151" customFormat="1">
      <c r="A40" s="146"/>
      <c r="B40" s="147" t="s">
        <v>897</v>
      </c>
      <c r="C40" s="148"/>
      <c r="D40" s="148">
        <v>1319283</v>
      </c>
      <c r="E40" s="148">
        <f>+'22 - DG chi T+H2017'!F42</f>
        <v>1315440.4339766665</v>
      </c>
      <c r="F40" s="108">
        <f t="shared" si="3"/>
        <v>-3842.5660233334638</v>
      </c>
      <c r="G40" s="141">
        <f t="shared" si="4"/>
        <v>0.99708738305326949</v>
      </c>
    </row>
    <row r="41" spans="1:7" s="151" customFormat="1">
      <c r="A41" s="146"/>
      <c r="B41" s="147" t="s">
        <v>514</v>
      </c>
      <c r="C41" s="148"/>
      <c r="D41" s="148">
        <v>305312</v>
      </c>
      <c r="E41" s="148">
        <f>+'22 - DG chi T+H2017'!F43</f>
        <v>323147.00800000003</v>
      </c>
      <c r="F41" s="108">
        <f t="shared" si="3"/>
        <v>17835.008000000031</v>
      </c>
      <c r="G41" s="141">
        <f t="shared" si="4"/>
        <v>1.058415679698145</v>
      </c>
    </row>
    <row r="42" spans="1:7" s="151" customFormat="1">
      <c r="A42" s="146"/>
      <c r="B42" s="147" t="s">
        <v>898</v>
      </c>
      <c r="C42" s="148"/>
      <c r="D42" s="148">
        <v>60026</v>
      </c>
      <c r="E42" s="148">
        <f>+'22 - DG chi T+H2017'!F44</f>
        <v>143676.03</v>
      </c>
      <c r="F42" s="108">
        <f t="shared" si="3"/>
        <v>83650.03</v>
      </c>
      <c r="G42" s="141">
        <f t="shared" si="4"/>
        <v>2.3935632892413286</v>
      </c>
    </row>
    <row r="43" spans="1:7" s="114" customFormat="1" ht="28.5">
      <c r="A43" s="57" t="s">
        <v>73</v>
      </c>
      <c r="B43" s="58" t="s">
        <v>97</v>
      </c>
      <c r="C43" s="137"/>
      <c r="D43" s="137">
        <v>2916</v>
      </c>
      <c r="E43" s="137">
        <f>+'22 - DG chi T+H2017'!F45</f>
        <v>5783</v>
      </c>
      <c r="F43" s="137">
        <f t="shared" si="3"/>
        <v>2867</v>
      </c>
      <c r="G43" s="140">
        <f t="shared" si="1"/>
        <v>1.983196159122085</v>
      </c>
    </row>
    <row r="44" spans="1:7" s="114" customFormat="1" ht="14.25">
      <c r="A44" s="57" t="s">
        <v>77</v>
      </c>
      <c r="B44" s="58" t="s">
        <v>240</v>
      </c>
      <c r="C44" s="137">
        <v>1260</v>
      </c>
      <c r="D44" s="137">
        <v>1260</v>
      </c>
      <c r="E44" s="137">
        <f>+'22 - DG chi T+H2017'!F46</f>
        <v>1260</v>
      </c>
      <c r="F44" s="137">
        <f t="shared" si="3"/>
        <v>0</v>
      </c>
      <c r="G44" s="140">
        <f t="shared" si="1"/>
        <v>1</v>
      </c>
    </row>
    <row r="45" spans="1:7" s="114" customFormat="1" ht="14.25">
      <c r="A45" s="57" t="s">
        <v>113</v>
      </c>
      <c r="B45" s="58" t="s">
        <v>241</v>
      </c>
      <c r="C45" s="137">
        <v>184000</v>
      </c>
      <c r="D45" s="137">
        <v>189000</v>
      </c>
      <c r="E45" s="137">
        <f>+'22 - DG chi T+H2017'!F47</f>
        <v>0</v>
      </c>
      <c r="F45" s="137">
        <f t="shared" si="3"/>
        <v>-189000</v>
      </c>
      <c r="G45" s="140">
        <f t="shared" si="1"/>
        <v>0</v>
      </c>
    </row>
    <row r="46" spans="1:7" s="114" customFormat="1" ht="14.25">
      <c r="A46" s="57" t="s">
        <v>396</v>
      </c>
      <c r="B46" s="58" t="s">
        <v>397</v>
      </c>
      <c r="C46" s="137"/>
      <c r="D46" s="137"/>
      <c r="E46" s="137">
        <f>+'22 - DG chi T+H2017'!F48</f>
        <v>0</v>
      </c>
      <c r="F46" s="137">
        <f t="shared" si="3"/>
        <v>0</v>
      </c>
      <c r="G46" s="140"/>
    </row>
    <row r="47" spans="1:7" s="114" customFormat="1" ht="14.25">
      <c r="A47" s="57" t="s">
        <v>16</v>
      </c>
      <c r="B47" s="58" t="s">
        <v>398</v>
      </c>
      <c r="C47" s="163">
        <f>+C48+C51</f>
        <v>527803</v>
      </c>
      <c r="D47" s="137" t="e">
        <f>+D48+D51</f>
        <v>#REF!</v>
      </c>
      <c r="E47" s="137">
        <f>+E48+E51</f>
        <v>459616</v>
      </c>
      <c r="F47" s="137" t="e">
        <f>+F48+F51</f>
        <v>#REF!</v>
      </c>
      <c r="G47" s="140" t="e">
        <f t="shared" si="1"/>
        <v>#REF!</v>
      </c>
    </row>
    <row r="48" spans="1:7" s="114" customFormat="1" ht="14.25">
      <c r="A48" s="57" t="s">
        <v>83</v>
      </c>
      <c r="B48" s="58" t="s">
        <v>243</v>
      </c>
      <c r="C48" s="163">
        <f>+C49+C50</f>
        <v>203194</v>
      </c>
      <c r="D48" s="137" t="e">
        <f>+D49+D50</f>
        <v>#REF!</v>
      </c>
      <c r="E48" s="137">
        <f>+E49+E50</f>
        <v>203194</v>
      </c>
      <c r="F48" s="137" t="e">
        <f>+F49+F50</f>
        <v>#REF!</v>
      </c>
      <c r="G48" s="140" t="e">
        <f t="shared" si="1"/>
        <v>#REF!</v>
      </c>
    </row>
    <row r="49" spans="1:7" ht="30">
      <c r="A49" s="83"/>
      <c r="B49" s="60" t="s">
        <v>900</v>
      </c>
      <c r="C49" s="148">
        <f>134900+2300+35630</f>
        <v>172830</v>
      </c>
      <c r="D49" s="148" t="e">
        <f>'22 - DG chi T+H2017'!C51</f>
        <v>#REF!</v>
      </c>
      <c r="E49" s="108">
        <f>'22 - DG chi T+H2017'!F51</f>
        <v>172830</v>
      </c>
      <c r="F49" s="108" t="e">
        <f>E49-D49</f>
        <v>#REF!</v>
      </c>
      <c r="G49" s="141" t="e">
        <f t="shared" si="1"/>
        <v>#REF!</v>
      </c>
    </row>
    <row r="50" spans="1:7">
      <c r="A50" s="83"/>
      <c r="B50" s="60" t="s">
        <v>899</v>
      </c>
      <c r="C50" s="148">
        <f>29322+1042</f>
        <v>30364</v>
      </c>
      <c r="D50" s="148" t="e">
        <f>'22 - DG chi T+H2017'!C54</f>
        <v>#REF!</v>
      </c>
      <c r="E50" s="108">
        <f>'22 - DG chi T+H2017'!F54</f>
        <v>30364</v>
      </c>
      <c r="F50" s="108"/>
      <c r="G50" s="141"/>
    </row>
    <row r="51" spans="1:7" s="114" customFormat="1" ht="14.25">
      <c r="A51" s="57" t="s">
        <v>70</v>
      </c>
      <c r="B51" s="58" t="s">
        <v>244</v>
      </c>
      <c r="C51" s="163">
        <f>+C52+C53</f>
        <v>324609</v>
      </c>
      <c r="D51" s="137" t="e">
        <f>+D52+D53</f>
        <v>#REF!</v>
      </c>
      <c r="E51" s="137">
        <f>+E52+E53</f>
        <v>256422</v>
      </c>
      <c r="F51" s="137" t="e">
        <f>E51-D51</f>
        <v>#REF!</v>
      </c>
      <c r="G51" s="140" t="e">
        <f t="shared" si="1"/>
        <v>#REF!</v>
      </c>
    </row>
    <row r="52" spans="1:7">
      <c r="A52" s="83"/>
      <c r="B52" s="60" t="s">
        <v>340</v>
      </c>
      <c r="C52" s="148">
        <v>119190</v>
      </c>
      <c r="D52" s="108">
        <f>'22 - DG chi T+H2017'!C62</f>
        <v>119190</v>
      </c>
      <c r="E52" s="108">
        <f>'22 - DG chi T+H2017'!F62</f>
        <v>119190</v>
      </c>
      <c r="F52" s="108">
        <f>E52-D52</f>
        <v>0</v>
      </c>
      <c r="G52" s="141">
        <f t="shared" si="1"/>
        <v>1</v>
      </c>
    </row>
    <row r="53" spans="1:7">
      <c r="A53" s="152"/>
      <c r="B53" s="153" t="s">
        <v>96</v>
      </c>
      <c r="C53" s="164">
        <v>205419</v>
      </c>
      <c r="D53" s="154" t="e">
        <f>'22 - DG chi T+H2017'!C63</f>
        <v>#REF!</v>
      </c>
      <c r="E53" s="154">
        <f>'22 - DG chi T+H2017'!F63</f>
        <v>137232</v>
      </c>
      <c r="F53" s="154"/>
      <c r="G53" s="155"/>
    </row>
    <row r="54" spans="1:7">
      <c r="A54" s="152"/>
      <c r="B54" s="153" t="s">
        <v>901</v>
      </c>
      <c r="C54" s="164">
        <v>16200</v>
      </c>
      <c r="D54" s="154">
        <v>16200</v>
      </c>
      <c r="E54" s="154"/>
      <c r="F54" s="154"/>
      <c r="G54" s="155"/>
    </row>
    <row r="55" spans="1:7">
      <c r="A55" s="152"/>
      <c r="B55" s="153" t="s">
        <v>902</v>
      </c>
      <c r="C55" s="164">
        <v>308</v>
      </c>
      <c r="D55" s="154">
        <v>308</v>
      </c>
      <c r="E55" s="154"/>
      <c r="F55" s="154"/>
      <c r="G55" s="155"/>
    </row>
    <row r="56" spans="1:7">
      <c r="A56" s="152"/>
      <c r="B56" s="153" t="s">
        <v>903</v>
      </c>
      <c r="C56" s="164">
        <v>10000</v>
      </c>
      <c r="D56" s="154">
        <v>10000</v>
      </c>
      <c r="E56" s="154"/>
      <c r="F56" s="154"/>
      <c r="G56" s="155"/>
    </row>
    <row r="57" spans="1:7">
      <c r="A57" s="152"/>
      <c r="B57" s="153" t="s">
        <v>904</v>
      </c>
      <c r="C57" s="164">
        <v>4900</v>
      </c>
      <c r="D57" s="154">
        <v>4900</v>
      </c>
      <c r="E57" s="154"/>
      <c r="F57" s="154"/>
      <c r="G57" s="155"/>
    </row>
    <row r="58" spans="1:7">
      <c r="A58" s="152"/>
      <c r="B58" s="153"/>
      <c r="C58" s="164"/>
      <c r="D58" s="154"/>
      <c r="E58" s="154"/>
      <c r="F58" s="154"/>
      <c r="G58" s="155"/>
    </row>
    <row r="59" spans="1:7">
      <c r="A59" s="152"/>
      <c r="B59" s="153"/>
      <c r="C59" s="164"/>
      <c r="D59" s="154"/>
      <c r="E59" s="154"/>
      <c r="F59" s="154"/>
      <c r="G59" s="155"/>
    </row>
    <row r="60" spans="1:7">
      <c r="A60" s="152"/>
      <c r="B60" s="153"/>
      <c r="C60" s="164"/>
      <c r="D60" s="154"/>
      <c r="E60" s="154"/>
      <c r="F60" s="154"/>
      <c r="G60" s="155"/>
    </row>
    <row r="61" spans="1:7">
      <c r="A61" s="152"/>
      <c r="B61" s="153"/>
      <c r="C61" s="164"/>
      <c r="D61" s="154"/>
      <c r="E61" s="154"/>
      <c r="F61" s="154"/>
      <c r="G61" s="155"/>
    </row>
    <row r="62" spans="1:7">
      <c r="A62" s="152"/>
      <c r="B62" s="153"/>
      <c r="C62" s="164"/>
      <c r="D62" s="154"/>
      <c r="E62" s="154"/>
      <c r="F62" s="154"/>
      <c r="G62" s="155"/>
    </row>
    <row r="63" spans="1:7">
      <c r="A63" s="152"/>
      <c r="B63" s="153"/>
      <c r="C63" s="164"/>
      <c r="D63" s="154"/>
      <c r="E63" s="154"/>
      <c r="F63" s="154"/>
      <c r="G63" s="155"/>
    </row>
    <row r="64" spans="1:7">
      <c r="A64" s="152"/>
      <c r="B64" s="153"/>
      <c r="C64" s="164"/>
      <c r="D64" s="154"/>
      <c r="E64" s="154"/>
      <c r="F64" s="154"/>
      <c r="G64" s="155"/>
    </row>
    <row r="65" spans="1:7">
      <c r="A65" s="152"/>
      <c r="B65" s="153"/>
      <c r="C65" s="164"/>
      <c r="D65" s="154"/>
      <c r="E65" s="154"/>
      <c r="F65" s="154"/>
      <c r="G65" s="155"/>
    </row>
    <row r="66" spans="1:7">
      <c r="A66" s="152"/>
      <c r="B66" s="153"/>
      <c r="C66" s="164"/>
      <c r="D66" s="154"/>
      <c r="E66" s="154"/>
      <c r="F66" s="154"/>
      <c r="G66" s="155"/>
    </row>
    <row r="67" spans="1:7">
      <c r="A67" s="152"/>
      <c r="B67" s="153"/>
      <c r="C67" s="164"/>
      <c r="D67" s="154"/>
      <c r="E67" s="154"/>
      <c r="F67" s="154"/>
      <c r="G67" s="155"/>
    </row>
    <row r="68" spans="1:7" s="114" customFormat="1" ht="14.25">
      <c r="A68" s="61" t="s">
        <v>79</v>
      </c>
      <c r="B68" s="62" t="s">
        <v>401</v>
      </c>
      <c r="C68" s="165"/>
      <c r="D68" s="138"/>
      <c r="E68" s="138">
        <f>'22 - DG chi T+H2017'!F83</f>
        <v>564360.17599999998</v>
      </c>
      <c r="F68" s="138">
        <f>E68-D68</f>
        <v>564360.17599999998</v>
      </c>
      <c r="G68" s="142"/>
    </row>
    <row r="69" spans="1:7" ht="42.75" customHeight="1">
      <c r="A69" s="728" t="s">
        <v>402</v>
      </c>
      <c r="B69" s="728"/>
      <c r="C69" s="728"/>
      <c r="D69" s="728"/>
      <c r="E69" s="728"/>
      <c r="F69" s="728"/>
      <c r="G69" s="728"/>
    </row>
  </sheetData>
  <customSheetViews>
    <customSheetView guid="{9F606621-8853-4836-9A7E-DBA5CF152671}" scale="75" showPageBreaks="1" state="hidden">
      <selection activeCell="H5" sqref="A5:XFD7"/>
      <pageMargins left="0.43307086614173229" right="0.23622047244094491" top="0.47244094488188981" bottom="0.23622047244094491" header="0.31496062992125984" footer="0.23622047244094491"/>
      <pageSetup scale="80" orientation="portrait" r:id="rId1"/>
    </customSheetView>
    <customSheetView guid="{DB9039ED-C6EA-422D-9A5D-D152D95EDC67}" showPageBreaks="1" printArea="1" hiddenRows="1">
      <pane xSplit="2" ySplit="7" topLeftCell="C17" activePane="bottomRight" state="frozen"/>
      <selection pane="bottomRight" activeCell="E25" sqref="E25"/>
      <pageMargins left="0.9055118110236221" right="0.51181102362204722" top="0.74803149606299213" bottom="0.74803149606299213" header="0.31496062992125984" footer="0.31496062992125984"/>
      <printOptions horizontalCentered="1"/>
      <pageSetup scale="82" orientation="portrait" blackAndWhite="1" r:id="rId2"/>
    </customSheetView>
  </customSheetViews>
  <mergeCells count="11">
    <mergeCell ref="A1:G1"/>
    <mergeCell ref="A2:G2"/>
    <mergeCell ref="A3:G3"/>
    <mergeCell ref="F4:G4"/>
    <mergeCell ref="A69:G69"/>
    <mergeCell ref="A5:A6"/>
    <mergeCell ref="B5:B6"/>
    <mergeCell ref="D5:D6"/>
    <mergeCell ref="E5:E6"/>
    <mergeCell ref="F5:G5"/>
    <mergeCell ref="C5:C6"/>
  </mergeCells>
  <pageMargins left="0.43307086614173229" right="0.23622047244094491" top="0.47244094488188981" bottom="0.23622047244094491" header="0.31496062992125984" footer="0.23622047244094491"/>
  <pageSetup scale="80" orientation="portrait" r:id="rId3"/>
</worksheet>
</file>

<file path=xl/worksheets/sheet15.xml><?xml version="1.0" encoding="utf-8"?>
<worksheet xmlns="http://schemas.openxmlformats.org/spreadsheetml/2006/main" xmlns:r="http://schemas.openxmlformats.org/officeDocument/2006/relationships">
  <sheetPr>
    <tabColor theme="5"/>
  </sheetPr>
  <dimension ref="A1:F38"/>
  <sheetViews>
    <sheetView tabSelected="1" workbookViewId="0">
      <selection activeCell="F8" sqref="F8"/>
    </sheetView>
  </sheetViews>
  <sheetFormatPr defaultColWidth="9.140625" defaultRowHeight="15"/>
  <cols>
    <col min="1" max="1" width="5.85546875" style="612" customWidth="1"/>
    <col min="2" max="2" width="41" style="612" customWidth="1"/>
    <col min="3" max="3" width="11.42578125" style="612" customWidth="1"/>
    <col min="4" max="5" width="12.42578125" style="612" customWidth="1"/>
    <col min="6" max="6" width="8.85546875" style="632" customWidth="1"/>
    <col min="7" max="16384" width="9.140625" style="612"/>
  </cols>
  <sheetData>
    <row r="1" spans="1:6" ht="15.75">
      <c r="A1" s="734" t="s">
        <v>1510</v>
      </c>
      <c r="B1" s="734"/>
      <c r="F1" s="613" t="s">
        <v>1502</v>
      </c>
    </row>
    <row r="2" spans="1:6" ht="15.75">
      <c r="A2" s="734" t="s">
        <v>1511</v>
      </c>
      <c r="B2" s="734"/>
      <c r="F2" s="612"/>
    </row>
    <row r="3" spans="1:6" ht="12.75" customHeight="1">
      <c r="A3" s="614"/>
      <c r="B3" s="614"/>
      <c r="F3" s="612"/>
    </row>
    <row r="4" spans="1:6" ht="25.5" customHeight="1">
      <c r="A4" s="730" t="s">
        <v>821</v>
      </c>
      <c r="B4" s="730"/>
      <c r="C4" s="730"/>
      <c r="D4" s="730"/>
      <c r="E4" s="730"/>
      <c r="F4" s="730"/>
    </row>
    <row r="5" spans="1:6" ht="25.5" customHeight="1">
      <c r="E5" s="733" t="s">
        <v>56</v>
      </c>
      <c r="F5" s="733"/>
    </row>
    <row r="6" spans="1:6" s="615" customFormat="1" ht="33" customHeight="1">
      <c r="A6" s="735" t="s">
        <v>3</v>
      </c>
      <c r="B6" s="735" t="s">
        <v>257</v>
      </c>
      <c r="C6" s="735" t="s">
        <v>886</v>
      </c>
      <c r="D6" s="735" t="s">
        <v>797</v>
      </c>
      <c r="E6" s="735" t="s">
        <v>887</v>
      </c>
      <c r="F6" s="731" t="s">
        <v>346</v>
      </c>
    </row>
    <row r="7" spans="1:6" s="615" customFormat="1" ht="51.75" customHeight="1">
      <c r="A7" s="735"/>
      <c r="B7" s="735"/>
      <c r="C7" s="735"/>
      <c r="D7" s="735"/>
      <c r="E7" s="735"/>
      <c r="F7" s="732"/>
    </row>
    <row r="8" spans="1:6">
      <c r="A8" s="499" t="s">
        <v>15</v>
      </c>
      <c r="B8" s="499" t="s">
        <v>16</v>
      </c>
      <c r="C8" s="499">
        <v>1</v>
      </c>
      <c r="D8" s="499">
        <v>2</v>
      </c>
      <c r="E8" s="499">
        <v>3</v>
      </c>
      <c r="F8" s="499">
        <v>4</v>
      </c>
    </row>
    <row r="9" spans="1:6" s="620" customFormat="1" ht="14.25">
      <c r="A9" s="616" t="s">
        <v>15</v>
      </c>
      <c r="B9" s="617" t="s">
        <v>404</v>
      </c>
      <c r="C9" s="618">
        <v>9900155</v>
      </c>
      <c r="D9" s="618">
        <v>13403897.312350001</v>
      </c>
      <c r="E9" s="618">
        <v>11800921</v>
      </c>
      <c r="F9" s="619">
        <v>0.88040968421378007</v>
      </c>
    </row>
    <row r="10" spans="1:6" s="620" customFormat="1" ht="14.25">
      <c r="A10" s="621" t="s">
        <v>83</v>
      </c>
      <c r="B10" s="622" t="s">
        <v>232</v>
      </c>
      <c r="C10" s="623">
        <v>9106335</v>
      </c>
      <c r="D10" s="623">
        <v>9801775.3123500012</v>
      </c>
      <c r="E10" s="623">
        <v>10491910</v>
      </c>
      <c r="F10" s="619">
        <v>1.0704091519809116</v>
      </c>
    </row>
    <row r="11" spans="1:6">
      <c r="A11" s="624" t="s">
        <v>22</v>
      </c>
      <c r="B11" s="625" t="s">
        <v>335</v>
      </c>
      <c r="C11" s="626">
        <v>2171085</v>
      </c>
      <c r="D11" s="626">
        <v>3608545.3123500012</v>
      </c>
      <c r="E11" s="626">
        <v>3110710</v>
      </c>
      <c r="F11" s="619">
        <v>0.86203988885876159</v>
      </c>
    </row>
    <row r="12" spans="1:6">
      <c r="A12" s="624" t="s">
        <v>22</v>
      </c>
      <c r="B12" s="625" t="s">
        <v>336</v>
      </c>
      <c r="C12" s="626">
        <v>6935250</v>
      </c>
      <c r="D12" s="626">
        <v>6193230</v>
      </c>
      <c r="E12" s="626">
        <v>7381200</v>
      </c>
      <c r="F12" s="627">
        <v>1.1918175168692267</v>
      </c>
    </row>
    <row r="13" spans="1:6" s="620" customFormat="1" ht="14.25">
      <c r="A13" s="621" t="s">
        <v>70</v>
      </c>
      <c r="B13" s="622" t="s">
        <v>286</v>
      </c>
      <c r="C13" s="623">
        <v>793820</v>
      </c>
      <c r="D13" s="623">
        <v>793820</v>
      </c>
      <c r="E13" s="623">
        <v>1265415</v>
      </c>
      <c r="F13" s="619">
        <v>1.5940830414955531</v>
      </c>
    </row>
    <row r="14" spans="1:6">
      <c r="A14" s="624">
        <v>1</v>
      </c>
      <c r="B14" s="625" t="s">
        <v>234</v>
      </c>
      <c r="C14" s="626">
        <v>266017</v>
      </c>
      <c r="D14" s="626">
        <v>266017</v>
      </c>
      <c r="E14" s="626">
        <v>266017</v>
      </c>
      <c r="F14" s="627">
        <v>1</v>
      </c>
    </row>
    <row r="15" spans="1:6">
      <c r="A15" s="624">
        <v>2</v>
      </c>
      <c r="B15" s="625" t="s">
        <v>1185</v>
      </c>
      <c r="C15" s="626"/>
      <c r="D15" s="626"/>
      <c r="E15" s="626"/>
      <c r="F15" s="627"/>
    </row>
    <row r="16" spans="1:6">
      <c r="A16" s="624">
        <v>3</v>
      </c>
      <c r="B16" s="625" t="s">
        <v>88</v>
      </c>
      <c r="C16" s="626">
        <v>527803</v>
      </c>
      <c r="D16" s="626">
        <v>527803</v>
      </c>
      <c r="E16" s="626">
        <v>999398</v>
      </c>
      <c r="F16" s="627">
        <v>1.8935057208844968</v>
      </c>
    </row>
    <row r="17" spans="1:6" s="620" customFormat="1" ht="14.25">
      <c r="A17" s="621" t="s">
        <v>73</v>
      </c>
      <c r="B17" s="622" t="s">
        <v>235</v>
      </c>
      <c r="C17" s="623">
        <v>0</v>
      </c>
      <c r="D17" s="623">
        <v>0</v>
      </c>
      <c r="E17" s="623"/>
      <c r="F17" s="619"/>
    </row>
    <row r="18" spans="1:6" s="620" customFormat="1" ht="14.25">
      <c r="A18" s="621" t="s">
        <v>77</v>
      </c>
      <c r="B18" s="622" t="s">
        <v>287</v>
      </c>
      <c r="C18" s="623">
        <v>0</v>
      </c>
      <c r="D18" s="623">
        <v>39103</v>
      </c>
      <c r="E18" s="623">
        <v>43596</v>
      </c>
      <c r="F18" s="619"/>
    </row>
    <row r="19" spans="1:6" s="620" customFormat="1" ht="28.5">
      <c r="A19" s="621" t="s">
        <v>113</v>
      </c>
      <c r="B19" s="622" t="s">
        <v>405</v>
      </c>
      <c r="C19" s="623">
        <v>0</v>
      </c>
      <c r="D19" s="623">
        <v>2769199</v>
      </c>
      <c r="E19" s="623"/>
      <c r="F19" s="619"/>
    </row>
    <row r="20" spans="1:6" s="620" customFormat="1" ht="14.25">
      <c r="A20" s="621" t="s">
        <v>16</v>
      </c>
      <c r="B20" s="622" t="s">
        <v>888</v>
      </c>
      <c r="C20" s="623">
        <v>9777121</v>
      </c>
      <c r="D20" s="623">
        <v>10974713.363262333</v>
      </c>
      <c r="E20" s="623">
        <v>11890921</v>
      </c>
      <c r="F20" s="619">
        <v>1.2161986130682028</v>
      </c>
    </row>
    <row r="21" spans="1:6" s="620" customFormat="1" ht="14.25">
      <c r="A21" s="621" t="s">
        <v>83</v>
      </c>
      <c r="B21" s="622" t="s">
        <v>339</v>
      </c>
      <c r="C21" s="623">
        <v>9249318</v>
      </c>
      <c r="D21" s="623">
        <v>9950737.1872623339</v>
      </c>
      <c r="E21" s="623">
        <v>10891523</v>
      </c>
      <c r="F21" s="619">
        <v>1.1775487662982287</v>
      </c>
    </row>
    <row r="22" spans="1:6">
      <c r="A22" s="624">
        <v>1</v>
      </c>
      <c r="B22" s="625" t="s">
        <v>1506</v>
      </c>
      <c r="C22" s="626">
        <v>2194840</v>
      </c>
      <c r="D22" s="626">
        <v>2988610.5812999997</v>
      </c>
      <c r="E22" s="626">
        <v>3007216</v>
      </c>
      <c r="F22" s="627">
        <v>1.3701299411346612</v>
      </c>
    </row>
    <row r="23" spans="1:6">
      <c r="A23" s="624">
        <v>2</v>
      </c>
      <c r="B23" s="625" t="s">
        <v>96</v>
      </c>
      <c r="C23" s="626">
        <v>6861302</v>
      </c>
      <c r="D23" s="626">
        <v>6955083.6059623342</v>
      </c>
      <c r="E23" s="626">
        <v>7179056</v>
      </c>
      <c r="F23" s="627">
        <v>1.0463110354273868</v>
      </c>
    </row>
    <row r="24" spans="1:6" ht="30">
      <c r="A24" s="624">
        <v>3</v>
      </c>
      <c r="B24" s="625" t="s">
        <v>1328</v>
      </c>
      <c r="C24" s="626">
        <v>2916</v>
      </c>
      <c r="D24" s="626">
        <v>5783</v>
      </c>
      <c r="E24" s="626">
        <v>22624</v>
      </c>
      <c r="F24" s="627">
        <v>7.7585733882030175</v>
      </c>
    </row>
    <row r="25" spans="1:6">
      <c r="A25" s="624">
        <v>4</v>
      </c>
      <c r="B25" s="625" t="s">
        <v>1301</v>
      </c>
      <c r="C25" s="626">
        <v>1260</v>
      </c>
      <c r="D25" s="626">
        <v>1260</v>
      </c>
      <c r="E25" s="626">
        <v>1260</v>
      </c>
      <c r="F25" s="627">
        <v>1</v>
      </c>
    </row>
    <row r="26" spans="1:6">
      <c r="A26" s="624">
        <v>5</v>
      </c>
      <c r="B26" s="625" t="s">
        <v>241</v>
      </c>
      <c r="C26" s="626">
        <v>189000</v>
      </c>
      <c r="D26" s="626">
        <v>0</v>
      </c>
      <c r="E26" s="626">
        <v>260714</v>
      </c>
      <c r="F26" s="627">
        <v>1.3794391534391535</v>
      </c>
    </row>
    <row r="27" spans="1:6">
      <c r="A27" s="624">
        <v>6</v>
      </c>
      <c r="B27" s="625" t="s">
        <v>98</v>
      </c>
      <c r="C27" s="626">
        <v>0</v>
      </c>
      <c r="D27" s="626">
        <v>0</v>
      </c>
      <c r="E27" s="626">
        <v>420653</v>
      </c>
      <c r="F27" s="627"/>
    </row>
    <row r="28" spans="1:6" s="620" customFormat="1" ht="14.25">
      <c r="A28" s="621" t="s">
        <v>70</v>
      </c>
      <c r="B28" s="622" t="s">
        <v>408</v>
      </c>
      <c r="C28" s="623">
        <v>527803</v>
      </c>
      <c r="D28" s="623">
        <v>459616</v>
      </c>
      <c r="E28" s="623">
        <v>999398</v>
      </c>
      <c r="F28" s="619">
        <v>1.8935057208844968</v>
      </c>
    </row>
    <row r="29" spans="1:6">
      <c r="A29" s="624">
        <v>1</v>
      </c>
      <c r="B29" s="625" t="s">
        <v>243</v>
      </c>
      <c r="C29" s="626">
        <v>203194</v>
      </c>
      <c r="D29" s="626">
        <v>203194</v>
      </c>
      <c r="E29" s="626">
        <v>169576</v>
      </c>
      <c r="F29" s="627">
        <v>0.8345522013445279</v>
      </c>
    </row>
    <row r="30" spans="1:6">
      <c r="A30" s="624">
        <v>2</v>
      </c>
      <c r="B30" s="625" t="s">
        <v>244</v>
      </c>
      <c r="C30" s="626">
        <v>324609</v>
      </c>
      <c r="D30" s="626">
        <v>256422</v>
      </c>
      <c r="E30" s="626">
        <v>829822</v>
      </c>
      <c r="F30" s="627">
        <v>2.5563739760758328</v>
      </c>
    </row>
    <row r="31" spans="1:6" s="620" customFormat="1" ht="14.25">
      <c r="A31" s="621" t="s">
        <v>73</v>
      </c>
      <c r="B31" s="622" t="s">
        <v>409</v>
      </c>
      <c r="C31" s="623">
        <v>0</v>
      </c>
      <c r="D31" s="623">
        <v>564360.17599999998</v>
      </c>
      <c r="E31" s="623"/>
      <c r="F31" s="619"/>
    </row>
    <row r="32" spans="1:6" s="620" customFormat="1" ht="14.25">
      <c r="A32" s="621" t="s">
        <v>79</v>
      </c>
      <c r="B32" s="622" t="s">
        <v>1507</v>
      </c>
      <c r="C32" s="623">
        <v>123034</v>
      </c>
      <c r="D32" s="623"/>
      <c r="E32" s="623">
        <v>-90000</v>
      </c>
      <c r="F32" s="619">
        <v>-0.73150511240795224</v>
      </c>
    </row>
    <row r="33" spans="1:6" s="620" customFormat="1" ht="14.25">
      <c r="A33" s="621" t="s">
        <v>89</v>
      </c>
      <c r="B33" s="622" t="s">
        <v>1508</v>
      </c>
      <c r="C33" s="623">
        <v>123034</v>
      </c>
      <c r="D33" s="623">
        <v>162137</v>
      </c>
      <c r="E33" s="623">
        <v>434100</v>
      </c>
      <c r="F33" s="619">
        <v>3.5282929921810231</v>
      </c>
    </row>
    <row r="34" spans="1:6" s="620" customFormat="1" ht="14.25">
      <c r="A34" s="621" t="s">
        <v>83</v>
      </c>
      <c r="B34" s="622" t="s">
        <v>108</v>
      </c>
      <c r="C34" s="623">
        <v>0</v>
      </c>
      <c r="D34" s="623">
        <v>0</v>
      </c>
      <c r="E34" s="623"/>
      <c r="F34" s="619"/>
    </row>
    <row r="35" spans="1:6" s="620" customFormat="1" ht="28.5">
      <c r="A35" s="621" t="s">
        <v>70</v>
      </c>
      <c r="B35" s="622" t="s">
        <v>410</v>
      </c>
      <c r="C35" s="623">
        <v>123034</v>
      </c>
      <c r="D35" s="623">
        <v>162137</v>
      </c>
      <c r="E35" s="623">
        <v>434100</v>
      </c>
      <c r="F35" s="619">
        <v>3.5282929921810231</v>
      </c>
    </row>
    <row r="36" spans="1:6" s="620" customFormat="1" ht="14.25">
      <c r="A36" s="621" t="s">
        <v>99</v>
      </c>
      <c r="B36" s="622" t="s">
        <v>1509</v>
      </c>
      <c r="C36" s="623">
        <v>1470</v>
      </c>
      <c r="D36" s="623">
        <v>823</v>
      </c>
      <c r="E36" s="623">
        <v>524100</v>
      </c>
      <c r="F36" s="619">
        <v>356.53061224489795</v>
      </c>
    </row>
    <row r="37" spans="1:6" s="620" customFormat="1" ht="14.25">
      <c r="A37" s="621" t="s">
        <v>83</v>
      </c>
      <c r="B37" s="622" t="s">
        <v>253</v>
      </c>
      <c r="C37" s="623">
        <v>0</v>
      </c>
      <c r="D37" s="623">
        <v>0</v>
      </c>
      <c r="E37" s="623">
        <v>90000</v>
      </c>
      <c r="F37" s="619"/>
    </row>
    <row r="38" spans="1:6" s="620" customFormat="1" ht="15.75" customHeight="1">
      <c r="A38" s="628" t="s">
        <v>70</v>
      </c>
      <c r="B38" s="629" t="s">
        <v>411</v>
      </c>
      <c r="C38" s="630">
        <v>1470</v>
      </c>
      <c r="D38" s="630">
        <v>823</v>
      </c>
      <c r="E38" s="630">
        <v>434100</v>
      </c>
      <c r="F38" s="631">
        <v>295.30612244897958</v>
      </c>
    </row>
  </sheetData>
  <customSheetViews>
    <customSheetView guid="{9F606621-8853-4836-9A7E-DBA5CF152671}" showPageBreaks="1" hiddenRows="1" hiddenColumns="1" topLeftCell="A4">
      <pane xSplit="2" ySplit="4" topLeftCell="C8" activePane="bottomRight" state="frozen"/>
      <selection pane="bottomRight" activeCell="Q5" sqref="Q5:R6"/>
      <pageMargins left="0.7" right="0.7" top="0.75" bottom="0.75" header="0.3" footer="0.3"/>
      <pageSetup orientation="portrait" r:id="rId1"/>
    </customSheetView>
    <customSheetView guid="{DB9039ED-C6EA-422D-9A5D-D152D95EDC67}" scale="85" showPageBreaks="1" printArea="1" hiddenRows="1" hiddenColumns="1" topLeftCell="B1">
      <pane xSplit="1" ySplit="7" topLeftCell="C23" activePane="bottomRight" state="frozen"/>
      <selection pane="bottomRight" activeCell="N29" sqref="N29"/>
      <pageMargins left="0.70866141732283472" right="0.31496062992125984" top="0.74803149606299213" bottom="0.74803149606299213" header="0.31496062992125984" footer="0.31496062992125984"/>
      <printOptions horizontalCentered="1"/>
      <pageSetup paperSize="9" scale="70" orientation="portrait" blackAndWhite="1" r:id="rId2"/>
    </customSheetView>
  </customSheetViews>
  <mergeCells count="10">
    <mergeCell ref="A4:F4"/>
    <mergeCell ref="F6:F7"/>
    <mergeCell ref="E5:F5"/>
    <mergeCell ref="A1:B1"/>
    <mergeCell ref="A2:B2"/>
    <mergeCell ref="A6:A7"/>
    <mergeCell ref="B6:B7"/>
    <mergeCell ref="C6:C7"/>
    <mergeCell ref="D6:D7"/>
    <mergeCell ref="E6:E7"/>
  </mergeCells>
  <printOptions horizontalCentered="1"/>
  <pageMargins left="0.17" right="0.17" top="0.52" bottom="0.23622047244094499" header="0.31496062992126" footer="0.23622047244094499"/>
  <pageSetup paperSize="9" orientation="portrait" blackAndWhite="1" r:id="rId3"/>
</worksheet>
</file>

<file path=xl/worksheets/sheet16.xml><?xml version="1.0" encoding="utf-8"?>
<worksheet xmlns="http://schemas.openxmlformats.org/spreadsheetml/2006/main" xmlns:r="http://schemas.openxmlformats.org/officeDocument/2006/relationships">
  <sheetPr>
    <tabColor theme="5"/>
  </sheetPr>
  <dimension ref="A1:W38"/>
  <sheetViews>
    <sheetView topLeftCell="A22" workbookViewId="0">
      <selection activeCell="B43" sqref="B43"/>
    </sheetView>
  </sheetViews>
  <sheetFormatPr defaultRowHeight="15"/>
  <cols>
    <col min="1" max="1" width="5.85546875" style="276" customWidth="1"/>
    <col min="2" max="2" width="41.28515625" style="276" customWidth="1"/>
    <col min="3" max="3" width="9.85546875" style="276" bestFit="1" customWidth="1"/>
    <col min="4" max="4" width="11.140625" style="276" customWidth="1"/>
    <col min="5" max="5" width="11.42578125" style="276" customWidth="1"/>
    <col min="6" max="6" width="11.7109375" style="411" customWidth="1"/>
    <col min="7" max="16384" width="9.140625" style="276"/>
  </cols>
  <sheetData>
    <row r="1" spans="1:23" ht="15.75">
      <c r="A1" s="736" t="s">
        <v>1512</v>
      </c>
      <c r="B1" s="736"/>
      <c r="E1" s="633"/>
      <c r="F1" s="634" t="s">
        <v>1530</v>
      </c>
    </row>
    <row r="2" spans="1:23" ht="15.75">
      <c r="A2" s="736" t="s">
        <v>1513</v>
      </c>
      <c r="B2" s="736"/>
      <c r="F2" s="634"/>
    </row>
    <row r="3" spans="1:23" ht="15.75">
      <c r="A3" s="635"/>
      <c r="B3" s="635"/>
      <c r="F3" s="634"/>
    </row>
    <row r="4" spans="1:23" ht="41.25" customHeight="1">
      <c r="A4" s="737" t="s">
        <v>847</v>
      </c>
      <c r="B4" s="737"/>
      <c r="C4" s="737"/>
      <c r="D4" s="737"/>
      <c r="E4" s="737"/>
      <c r="F4" s="737"/>
    </row>
    <row r="5" spans="1:23" ht="26.25" customHeight="1">
      <c r="F5" s="636" t="s">
        <v>56</v>
      </c>
    </row>
    <row r="6" spans="1:23" ht="21.75" customHeight="1">
      <c r="A6" s="738" t="s">
        <v>3</v>
      </c>
      <c r="B6" s="738" t="s">
        <v>4</v>
      </c>
      <c r="C6" s="738" t="s">
        <v>796</v>
      </c>
      <c r="D6" s="738" t="s">
        <v>797</v>
      </c>
      <c r="E6" s="738" t="s">
        <v>820</v>
      </c>
      <c r="F6" s="739" t="s">
        <v>346</v>
      </c>
    </row>
    <row r="7" spans="1:23" ht="81.75" customHeight="1">
      <c r="A7" s="738"/>
      <c r="B7" s="738"/>
      <c r="C7" s="738"/>
      <c r="D7" s="738"/>
      <c r="E7" s="738"/>
      <c r="F7" s="740"/>
      <c r="I7" s="322"/>
      <c r="J7" s="322"/>
      <c r="K7" s="322"/>
      <c r="L7" s="322"/>
      <c r="M7" s="322"/>
      <c r="N7" s="322"/>
      <c r="O7" s="322"/>
      <c r="P7" s="322"/>
      <c r="Q7" s="322"/>
      <c r="R7" s="322"/>
      <c r="S7" s="322"/>
      <c r="T7" s="322"/>
      <c r="U7" s="322"/>
      <c r="V7" s="322"/>
      <c r="W7" s="322"/>
    </row>
    <row r="8" spans="1:23" ht="15.75">
      <c r="A8" s="637" t="s">
        <v>15</v>
      </c>
      <c r="B8" s="637" t="s">
        <v>16</v>
      </c>
      <c r="C8" s="637">
        <v>1</v>
      </c>
      <c r="D8" s="637">
        <v>2</v>
      </c>
      <c r="E8" s="637">
        <v>3</v>
      </c>
      <c r="F8" s="637">
        <v>4</v>
      </c>
    </row>
    <row r="9" spans="1:23" ht="15.75">
      <c r="A9" s="638" t="s">
        <v>15</v>
      </c>
      <c r="B9" s="639" t="s">
        <v>283</v>
      </c>
      <c r="C9" s="640"/>
      <c r="D9" s="640"/>
      <c r="E9" s="640"/>
      <c r="F9" s="641"/>
    </row>
    <row r="10" spans="1:23" ht="15.75">
      <c r="A10" s="642" t="s">
        <v>83</v>
      </c>
      <c r="B10" s="643" t="s">
        <v>568</v>
      </c>
      <c r="C10" s="271">
        <v>7948125</v>
      </c>
      <c r="D10" s="271">
        <v>10239454.312350001</v>
      </c>
      <c r="E10" s="271">
        <v>9240241</v>
      </c>
      <c r="F10" s="644">
        <v>0.902415374699721</v>
      </c>
    </row>
    <row r="11" spans="1:23" ht="15.75">
      <c r="A11" s="645">
        <v>1</v>
      </c>
      <c r="B11" s="646" t="s">
        <v>285</v>
      </c>
      <c r="C11" s="647">
        <v>7154305</v>
      </c>
      <c r="D11" s="647">
        <v>7038825.3123500003</v>
      </c>
      <c r="E11" s="647">
        <v>7931230</v>
      </c>
      <c r="F11" s="648">
        <v>1.1267831844163296</v>
      </c>
    </row>
    <row r="12" spans="1:23" ht="15.75">
      <c r="A12" s="645">
        <v>2</v>
      </c>
      <c r="B12" s="646" t="s">
        <v>286</v>
      </c>
      <c r="C12" s="647">
        <v>793820</v>
      </c>
      <c r="D12" s="647">
        <v>793820</v>
      </c>
      <c r="E12" s="647">
        <v>1265415</v>
      </c>
      <c r="F12" s="648">
        <v>1.5940830414955531</v>
      </c>
    </row>
    <row r="13" spans="1:23" ht="15.75">
      <c r="A13" s="645" t="s">
        <v>22</v>
      </c>
      <c r="B13" s="646" t="s">
        <v>234</v>
      </c>
      <c r="C13" s="647">
        <v>266017</v>
      </c>
      <c r="D13" s="647">
        <v>266017</v>
      </c>
      <c r="E13" s="647">
        <v>266017</v>
      </c>
      <c r="F13" s="648">
        <v>1</v>
      </c>
    </row>
    <row r="14" spans="1:23" ht="15.75">
      <c r="A14" s="645" t="s">
        <v>22</v>
      </c>
      <c r="B14" s="646" t="s">
        <v>88</v>
      </c>
      <c r="C14" s="647">
        <v>527803</v>
      </c>
      <c r="D14" s="647">
        <v>527803</v>
      </c>
      <c r="E14" s="647">
        <v>999398</v>
      </c>
      <c r="F14" s="648">
        <v>1.8935057208844968</v>
      </c>
    </row>
    <row r="15" spans="1:23" ht="15.75">
      <c r="A15" s="645">
        <v>3</v>
      </c>
      <c r="B15" s="646" t="s">
        <v>460</v>
      </c>
      <c r="C15" s="647">
        <v>0</v>
      </c>
      <c r="D15" s="647">
        <v>0</v>
      </c>
      <c r="E15" s="647">
        <v>0</v>
      </c>
      <c r="F15" s="648"/>
    </row>
    <row r="16" spans="1:23" ht="15.75">
      <c r="A16" s="645">
        <v>4</v>
      </c>
      <c r="B16" s="646" t="s">
        <v>287</v>
      </c>
      <c r="C16" s="647">
        <v>0</v>
      </c>
      <c r="D16" s="647">
        <v>39103</v>
      </c>
      <c r="E16" s="647">
        <v>43596</v>
      </c>
      <c r="F16" s="648"/>
    </row>
    <row r="17" spans="1:6" ht="15.75">
      <c r="A17" s="645">
        <v>5</v>
      </c>
      <c r="B17" s="646" t="s">
        <v>237</v>
      </c>
      <c r="C17" s="647">
        <v>0</v>
      </c>
      <c r="D17" s="647">
        <v>2367706</v>
      </c>
      <c r="E17" s="647">
        <v>0</v>
      </c>
      <c r="F17" s="648"/>
    </row>
    <row r="18" spans="1:6" s="284" customFormat="1" ht="15.75">
      <c r="A18" s="642" t="s">
        <v>70</v>
      </c>
      <c r="B18" s="643" t="s">
        <v>288</v>
      </c>
      <c r="C18" s="649">
        <v>7825091</v>
      </c>
      <c r="D18" s="649">
        <v>8225755.9579569995</v>
      </c>
      <c r="E18" s="649">
        <v>9330241</v>
      </c>
      <c r="F18" s="644">
        <v>1.1923492007952368</v>
      </c>
    </row>
    <row r="19" spans="1:6" ht="15.75">
      <c r="A19" s="645">
        <v>1</v>
      </c>
      <c r="B19" s="646" t="s">
        <v>289</v>
      </c>
      <c r="C19" s="647">
        <v>4573584</v>
      </c>
      <c r="D19" s="647">
        <v>4795559.9579569995</v>
      </c>
      <c r="E19" s="647">
        <v>6270960</v>
      </c>
      <c r="F19" s="648">
        <v>1.3711260140843593</v>
      </c>
    </row>
    <row r="20" spans="1:6" ht="15.75">
      <c r="A20" s="645">
        <v>2</v>
      </c>
      <c r="B20" s="646" t="s">
        <v>297</v>
      </c>
      <c r="C20" s="647">
        <v>3251507</v>
      </c>
      <c r="D20" s="647">
        <v>3342463</v>
      </c>
      <c r="E20" s="647">
        <v>3059281</v>
      </c>
      <c r="F20" s="648">
        <v>0.94088095150956153</v>
      </c>
    </row>
    <row r="21" spans="1:6" ht="15.75">
      <c r="A21" s="645" t="s">
        <v>22</v>
      </c>
      <c r="B21" s="646" t="s">
        <v>291</v>
      </c>
      <c r="C21" s="647">
        <v>2918024</v>
      </c>
      <c r="D21" s="647">
        <v>2882240</v>
      </c>
      <c r="E21" s="647">
        <v>2959281</v>
      </c>
      <c r="F21" s="648">
        <v>1.0141386774063543</v>
      </c>
    </row>
    <row r="22" spans="1:6" ht="15.75">
      <c r="A22" s="645" t="s">
        <v>22</v>
      </c>
      <c r="B22" s="646" t="s">
        <v>292</v>
      </c>
      <c r="C22" s="647">
        <v>333483</v>
      </c>
      <c r="D22" s="647">
        <v>460223</v>
      </c>
      <c r="E22" s="647">
        <v>100000</v>
      </c>
      <c r="F22" s="648">
        <v>0.29986536045315654</v>
      </c>
    </row>
    <row r="23" spans="1:6" ht="15.75">
      <c r="A23" s="645">
        <v>3</v>
      </c>
      <c r="B23" s="646" t="s">
        <v>245</v>
      </c>
      <c r="C23" s="647"/>
      <c r="D23" s="647">
        <v>87733</v>
      </c>
      <c r="E23" s="647"/>
      <c r="F23" s="644"/>
    </row>
    <row r="24" spans="1:6" s="284" customFormat="1" ht="15.75">
      <c r="A24" s="642" t="s">
        <v>73</v>
      </c>
      <c r="B24" s="643" t="s">
        <v>569</v>
      </c>
      <c r="C24" s="649">
        <v>123034</v>
      </c>
      <c r="D24" s="649">
        <v>2013698.3543930016</v>
      </c>
      <c r="E24" s="649">
        <v>-90000</v>
      </c>
      <c r="F24" s="644"/>
    </row>
    <row r="25" spans="1:6" ht="15.75">
      <c r="A25" s="642" t="s">
        <v>16</v>
      </c>
      <c r="B25" s="643" t="s">
        <v>294</v>
      </c>
      <c r="C25" s="647"/>
      <c r="D25" s="647"/>
      <c r="E25" s="647"/>
      <c r="F25" s="648"/>
    </row>
    <row r="26" spans="1:6" s="284" customFormat="1" ht="15.75">
      <c r="A26" s="642" t="s">
        <v>83</v>
      </c>
      <c r="B26" s="643" t="s">
        <v>568</v>
      </c>
      <c r="C26" s="649">
        <v>5203537</v>
      </c>
      <c r="D26" s="649">
        <v>6105413</v>
      </c>
      <c r="E26" s="649">
        <v>5619961</v>
      </c>
      <c r="F26" s="644">
        <v>0.92048826180964338</v>
      </c>
    </row>
    <row r="27" spans="1:6" ht="15.75">
      <c r="A27" s="645">
        <v>1</v>
      </c>
      <c r="B27" s="646" t="s">
        <v>285</v>
      </c>
      <c r="C27" s="647">
        <v>1952030</v>
      </c>
      <c r="D27" s="647">
        <v>2762950</v>
      </c>
      <c r="E27" s="647">
        <v>2560680</v>
      </c>
      <c r="F27" s="648">
        <v>0.92679201578023485</v>
      </c>
    </row>
    <row r="28" spans="1:6" ht="15.75">
      <c r="A28" s="645">
        <v>2</v>
      </c>
      <c r="B28" s="646" t="s">
        <v>286</v>
      </c>
      <c r="C28" s="647">
        <v>3251507</v>
      </c>
      <c r="D28" s="647">
        <v>3342463</v>
      </c>
      <c r="E28" s="647">
        <v>3059281</v>
      </c>
      <c r="F28" s="648">
        <v>0.91527744660150312</v>
      </c>
    </row>
    <row r="29" spans="1:6" ht="15.75">
      <c r="A29" s="645" t="s">
        <v>22</v>
      </c>
      <c r="B29" s="646" t="s">
        <v>234</v>
      </c>
      <c r="C29" s="647">
        <v>2918024</v>
      </c>
      <c r="D29" s="647">
        <v>2882240</v>
      </c>
      <c r="E29" s="647">
        <v>2959281</v>
      </c>
      <c r="F29" s="648">
        <v>1.0267295575663373</v>
      </c>
    </row>
    <row r="30" spans="1:6" ht="15.75">
      <c r="A30" s="645" t="s">
        <v>22</v>
      </c>
      <c r="B30" s="646" t="s">
        <v>88</v>
      </c>
      <c r="C30" s="647">
        <v>333483</v>
      </c>
      <c r="D30" s="647">
        <v>460223</v>
      </c>
      <c r="E30" s="647">
        <v>100000</v>
      </c>
      <c r="F30" s="648">
        <v>0.21728596788947965</v>
      </c>
    </row>
    <row r="31" spans="1:6" ht="15.75">
      <c r="A31" s="645">
        <v>3</v>
      </c>
      <c r="B31" s="646" t="s">
        <v>287</v>
      </c>
      <c r="C31" s="647"/>
      <c r="D31" s="647"/>
      <c r="E31" s="647"/>
      <c r="F31" s="648"/>
    </row>
    <row r="32" spans="1:6" ht="15.75">
      <c r="A32" s="645">
        <v>4</v>
      </c>
      <c r="B32" s="646" t="s">
        <v>237</v>
      </c>
      <c r="C32" s="647"/>
      <c r="D32" s="647">
        <v>401493</v>
      </c>
      <c r="E32" s="647"/>
      <c r="F32" s="648"/>
    </row>
    <row r="33" spans="1:6" s="284" customFormat="1" ht="15.75">
      <c r="A33" s="642" t="s">
        <v>70</v>
      </c>
      <c r="B33" s="643" t="s">
        <v>570</v>
      </c>
      <c r="C33" s="649">
        <v>5203537</v>
      </c>
      <c r="D33" s="649">
        <v>6091420.4053053334</v>
      </c>
      <c r="E33" s="649">
        <v>5619961</v>
      </c>
      <c r="F33" s="644">
        <v>1.080027104640555</v>
      </c>
    </row>
    <row r="34" spans="1:6" ht="15.75">
      <c r="A34" s="645">
        <v>1</v>
      </c>
      <c r="B34" s="646" t="s">
        <v>828</v>
      </c>
      <c r="C34" s="647">
        <v>5203537</v>
      </c>
      <c r="D34" s="647">
        <v>5614793.2293053335</v>
      </c>
      <c r="E34" s="647">
        <v>5619961</v>
      </c>
      <c r="F34" s="648">
        <v>1.080027104640555</v>
      </c>
    </row>
    <row r="35" spans="1:6" ht="15.75">
      <c r="A35" s="645">
        <v>2</v>
      </c>
      <c r="B35" s="646" t="s">
        <v>297</v>
      </c>
      <c r="C35" s="647"/>
      <c r="D35" s="647"/>
      <c r="E35" s="647"/>
      <c r="F35" s="648"/>
    </row>
    <row r="36" spans="1:6" ht="15.75">
      <c r="A36" s="645" t="s">
        <v>22</v>
      </c>
      <c r="B36" s="646" t="s">
        <v>291</v>
      </c>
      <c r="C36" s="647"/>
      <c r="D36" s="647"/>
      <c r="E36" s="647"/>
      <c r="F36" s="648"/>
    </row>
    <row r="37" spans="1:6" ht="15.75">
      <c r="A37" s="645" t="s">
        <v>22</v>
      </c>
      <c r="B37" s="646" t="s">
        <v>292</v>
      </c>
      <c r="C37" s="647"/>
      <c r="D37" s="647"/>
      <c r="E37" s="647"/>
      <c r="F37" s="648"/>
    </row>
    <row r="38" spans="1:6" ht="15.75">
      <c r="A38" s="650">
        <v>3</v>
      </c>
      <c r="B38" s="651" t="s">
        <v>245</v>
      </c>
      <c r="C38" s="652"/>
      <c r="D38" s="652">
        <v>476627.17599999998</v>
      </c>
      <c r="E38" s="652"/>
      <c r="F38" s="653"/>
    </row>
  </sheetData>
  <customSheetViews>
    <customSheetView guid="{9F606621-8853-4836-9A7E-DBA5CF152671}" showPageBreaks="1" topLeftCell="A10">
      <selection activeCell="J5" sqref="J5:X6"/>
      <pageMargins left="0.7" right="0.7" top="0.75" bottom="0.75" header="0.3" footer="0.3"/>
      <pageSetup orientation="portrait" r:id="rId1"/>
    </customSheetView>
    <customSheetView guid="{DB9039ED-C6EA-422D-9A5D-D152D95EDC67}" showPageBreaks="1" printArea="1" topLeftCell="B7">
      <selection activeCell="D25" sqref="D25"/>
      <pageMargins left="0.70866141732283472" right="0.31496062992125984" top="0.74803149606299213" bottom="0.74803149606299213" header="0.31496062992125984" footer="0.31496062992125984"/>
      <printOptions horizontalCentered="1"/>
      <pageSetup paperSize="9" scale="85" orientation="portrait" r:id="rId2"/>
    </customSheetView>
  </customSheetViews>
  <mergeCells count="9">
    <mergeCell ref="A1:B1"/>
    <mergeCell ref="A2:B2"/>
    <mergeCell ref="A4:F4"/>
    <mergeCell ref="A6:A7"/>
    <mergeCell ref="B6:B7"/>
    <mergeCell ref="C6:C7"/>
    <mergeCell ref="D6:D7"/>
    <mergeCell ref="E6:E7"/>
    <mergeCell ref="F6:F7"/>
  </mergeCells>
  <printOptions horizontalCentered="1"/>
  <pageMargins left="0.19" right="0.16" top="0.54" bottom="0.15748031496063" header="0.31496062992126" footer="0.15748031496063"/>
  <pageSetup paperSize="9" orientation="portrait" blackAndWhite="1" r:id="rId3"/>
</worksheet>
</file>

<file path=xl/worksheets/sheet17.xml><?xml version="1.0" encoding="utf-8"?>
<worksheet xmlns="http://schemas.openxmlformats.org/spreadsheetml/2006/main" xmlns:r="http://schemas.openxmlformats.org/officeDocument/2006/relationships">
  <sheetPr>
    <tabColor theme="5"/>
  </sheetPr>
  <dimension ref="A1:H62"/>
  <sheetViews>
    <sheetView showZeros="0" topLeftCell="A49" zoomScale="90" workbookViewId="0">
      <selection activeCell="B18" sqref="B18"/>
    </sheetView>
  </sheetViews>
  <sheetFormatPr defaultColWidth="9.140625" defaultRowHeight="15"/>
  <cols>
    <col min="1" max="1" width="5.5703125" style="612" customWidth="1"/>
    <col min="2" max="2" width="36.140625" style="612" customWidth="1"/>
    <col min="3" max="3" width="10.7109375" style="612" customWidth="1"/>
    <col min="4" max="4" width="9.7109375" style="612" customWidth="1"/>
    <col min="5" max="5" width="11.85546875" style="612" customWidth="1"/>
    <col min="6" max="6" width="10.7109375" style="612" customWidth="1"/>
    <col min="7" max="7" width="9.7109375" style="674" customWidth="1"/>
    <col min="8" max="8" width="10.28515625" style="674" customWidth="1"/>
    <col min="9" max="9" width="12" style="612" customWidth="1"/>
    <col min="10" max="11" width="10.28515625" style="612" customWidth="1"/>
    <col min="12" max="12" width="12" style="612" customWidth="1"/>
    <col min="13" max="16" width="10.28515625" style="612" customWidth="1"/>
    <col min="17" max="20" width="9.140625" style="612" customWidth="1"/>
    <col min="21" max="16384" width="9.140625" style="612"/>
  </cols>
  <sheetData>
    <row r="1" spans="1:8" ht="20.25" customHeight="1">
      <c r="A1" s="734" t="s">
        <v>1515</v>
      </c>
      <c r="B1" s="734"/>
      <c r="C1" s="654"/>
      <c r="D1" s="654"/>
      <c r="E1" s="654"/>
      <c r="F1" s="741" t="s">
        <v>1514</v>
      </c>
      <c r="G1" s="741"/>
      <c r="H1" s="741"/>
    </row>
    <row r="2" spans="1:8" ht="15" customHeight="1">
      <c r="A2" s="734" t="s">
        <v>1516</v>
      </c>
      <c r="B2" s="734"/>
      <c r="C2" s="654"/>
      <c r="D2" s="654"/>
      <c r="E2" s="654"/>
      <c r="F2" s="655"/>
      <c r="G2" s="655"/>
      <c r="H2" s="655"/>
    </row>
    <row r="3" spans="1:8" ht="15" customHeight="1">
      <c r="A3" s="614"/>
      <c r="B3" s="614"/>
      <c r="C3" s="654"/>
      <c r="D3" s="654"/>
      <c r="E3" s="654"/>
      <c r="F3" s="655"/>
      <c r="G3" s="655"/>
      <c r="H3" s="655"/>
    </row>
    <row r="4" spans="1:8" ht="18.75">
      <c r="A4" s="730" t="s">
        <v>822</v>
      </c>
      <c r="B4" s="730"/>
      <c r="C4" s="730"/>
      <c r="D4" s="730"/>
      <c r="E4" s="730"/>
      <c r="F4" s="730"/>
      <c r="G4" s="730"/>
      <c r="H4" s="730"/>
    </row>
    <row r="5" spans="1:8" s="656" customFormat="1" ht="29.25" customHeight="1">
      <c r="E5" s="657"/>
      <c r="F5" s="750" t="s">
        <v>56</v>
      </c>
      <c r="G5" s="750"/>
      <c r="H5" s="750"/>
    </row>
    <row r="6" spans="1:8" ht="43.9" customHeight="1">
      <c r="A6" s="745" t="s">
        <v>3</v>
      </c>
      <c r="B6" s="745" t="s">
        <v>4</v>
      </c>
      <c r="C6" s="748" t="s">
        <v>797</v>
      </c>
      <c r="D6" s="749"/>
      <c r="E6" s="748" t="s">
        <v>887</v>
      </c>
      <c r="F6" s="749"/>
      <c r="G6" s="744" t="s">
        <v>915</v>
      </c>
      <c r="H6" s="744"/>
    </row>
    <row r="7" spans="1:8" s="615" customFormat="1">
      <c r="A7" s="747"/>
      <c r="B7" s="747"/>
      <c r="C7" s="745" t="s">
        <v>347</v>
      </c>
      <c r="D7" s="745" t="s">
        <v>348</v>
      </c>
      <c r="E7" s="745" t="s">
        <v>347</v>
      </c>
      <c r="F7" s="745" t="s">
        <v>348</v>
      </c>
      <c r="G7" s="742" t="s">
        <v>347</v>
      </c>
      <c r="H7" s="742" t="s">
        <v>412</v>
      </c>
    </row>
    <row r="8" spans="1:8" ht="18.75" customHeight="1">
      <c r="A8" s="746"/>
      <c r="B8" s="746"/>
      <c r="C8" s="746"/>
      <c r="D8" s="746"/>
      <c r="E8" s="746"/>
      <c r="F8" s="746"/>
      <c r="G8" s="743"/>
      <c r="H8" s="743"/>
    </row>
    <row r="9" spans="1:8">
      <c r="A9" s="499" t="s">
        <v>15</v>
      </c>
      <c r="B9" s="499" t="s">
        <v>16</v>
      </c>
      <c r="C9" s="499">
        <v>1</v>
      </c>
      <c r="D9" s="499">
        <v>2</v>
      </c>
      <c r="E9" s="499">
        <v>3</v>
      </c>
      <c r="F9" s="499">
        <v>4</v>
      </c>
      <c r="G9" s="658" t="s">
        <v>349</v>
      </c>
      <c r="H9" s="658" t="s">
        <v>350</v>
      </c>
    </row>
    <row r="10" spans="1:8" s="620" customFormat="1" ht="17.25" customHeight="1">
      <c r="A10" s="616"/>
      <c r="B10" s="617" t="s">
        <v>351</v>
      </c>
      <c r="C10" s="659">
        <v>12135000</v>
      </c>
      <c r="D10" s="659">
        <v>9801775.3123500012</v>
      </c>
      <c r="E10" s="659">
        <v>12855000</v>
      </c>
      <c r="F10" s="659">
        <v>10491910</v>
      </c>
      <c r="G10" s="660">
        <v>1.0593325092707047</v>
      </c>
      <c r="H10" s="660">
        <v>1.0704091519809116</v>
      </c>
    </row>
    <row r="11" spans="1:8" s="620" customFormat="1" ht="15.75" customHeight="1">
      <c r="A11" s="621" t="s">
        <v>83</v>
      </c>
      <c r="B11" s="622" t="s">
        <v>65</v>
      </c>
      <c r="C11" s="661">
        <v>10230000</v>
      </c>
      <c r="D11" s="661">
        <v>9801775.3123500012</v>
      </c>
      <c r="E11" s="661">
        <v>10925000</v>
      </c>
      <c r="F11" s="661">
        <v>10491910</v>
      </c>
      <c r="G11" s="660">
        <v>1.0679374389051808</v>
      </c>
      <c r="H11" s="660">
        <v>1.0704091519809116</v>
      </c>
    </row>
    <row r="12" spans="1:8" s="620" customFormat="1" ht="21" customHeight="1">
      <c r="A12" s="621"/>
      <c r="B12" s="622" t="s">
        <v>893</v>
      </c>
      <c r="C12" s="661">
        <v>7930000</v>
      </c>
      <c r="D12" s="661">
        <v>7501775.3123500012</v>
      </c>
      <c r="E12" s="661">
        <v>9035000</v>
      </c>
      <c r="F12" s="661">
        <v>8601910</v>
      </c>
      <c r="G12" s="660">
        <v>1.139344262295082</v>
      </c>
      <c r="H12" s="660">
        <v>1.146649911766735</v>
      </c>
    </row>
    <row r="13" spans="1:8" ht="33" customHeight="1">
      <c r="A13" s="624">
        <v>1</v>
      </c>
      <c r="B13" s="625" t="s">
        <v>1296</v>
      </c>
      <c r="C13" s="626">
        <v>438000</v>
      </c>
      <c r="D13" s="626">
        <v>438000</v>
      </c>
      <c r="E13" s="626">
        <v>415000</v>
      </c>
      <c r="F13" s="626">
        <v>415000</v>
      </c>
      <c r="G13" s="662">
        <v>0.94748858447488582</v>
      </c>
      <c r="H13" s="662">
        <v>0.94748858447488582</v>
      </c>
    </row>
    <row r="14" spans="1:8" ht="16.5" customHeight="1">
      <c r="A14" s="624" t="s">
        <v>803</v>
      </c>
      <c r="B14" s="625" t="s">
        <v>629</v>
      </c>
      <c r="C14" s="663">
        <v>200000</v>
      </c>
      <c r="D14" s="663">
        <v>200000</v>
      </c>
      <c r="E14" s="663">
        <v>234500</v>
      </c>
      <c r="F14" s="626">
        <v>234500</v>
      </c>
      <c r="G14" s="662">
        <v>1.1725000000000001</v>
      </c>
      <c r="H14" s="662">
        <v>1.1725000000000001</v>
      </c>
    </row>
    <row r="15" spans="1:8" ht="16.5" customHeight="1">
      <c r="A15" s="624" t="s">
        <v>804</v>
      </c>
      <c r="B15" s="625" t="s">
        <v>630</v>
      </c>
      <c r="C15" s="663">
        <v>111750</v>
      </c>
      <c r="D15" s="663">
        <v>111750</v>
      </c>
      <c r="E15" s="663">
        <v>50000</v>
      </c>
      <c r="F15" s="626">
        <v>50000</v>
      </c>
      <c r="G15" s="662">
        <v>0.44742729306487694</v>
      </c>
      <c r="H15" s="662">
        <v>0.44742729306487694</v>
      </c>
    </row>
    <row r="16" spans="1:8" ht="16.5" customHeight="1">
      <c r="A16" s="624" t="s">
        <v>805</v>
      </c>
      <c r="B16" s="625" t="s">
        <v>873</v>
      </c>
      <c r="C16" s="663">
        <v>126000</v>
      </c>
      <c r="D16" s="663">
        <v>126000</v>
      </c>
      <c r="E16" s="663">
        <v>130000</v>
      </c>
      <c r="F16" s="626">
        <v>130000</v>
      </c>
      <c r="G16" s="662">
        <v>1.0317460317460319</v>
      </c>
      <c r="H16" s="662">
        <v>1.0317460317460319</v>
      </c>
    </row>
    <row r="17" spans="1:8" ht="15.75" customHeight="1">
      <c r="A17" s="624" t="s">
        <v>806</v>
      </c>
      <c r="B17" s="625" t="s">
        <v>874</v>
      </c>
      <c r="C17" s="663">
        <v>250</v>
      </c>
      <c r="D17" s="663">
        <v>250</v>
      </c>
      <c r="E17" s="663">
        <v>500</v>
      </c>
      <c r="F17" s="626">
        <v>500</v>
      </c>
      <c r="G17" s="662">
        <v>2</v>
      </c>
      <c r="H17" s="662">
        <v>2</v>
      </c>
    </row>
    <row r="18" spans="1:8" ht="33.6" customHeight="1">
      <c r="A18" s="624">
        <v>2</v>
      </c>
      <c r="B18" s="625" t="s">
        <v>1297</v>
      </c>
      <c r="C18" s="663">
        <v>130000</v>
      </c>
      <c r="D18" s="663">
        <v>130000</v>
      </c>
      <c r="E18" s="663">
        <v>105000</v>
      </c>
      <c r="F18" s="663">
        <v>105000</v>
      </c>
      <c r="G18" s="662">
        <v>0.80769230769230771</v>
      </c>
      <c r="H18" s="662">
        <v>0.80769230769230771</v>
      </c>
    </row>
    <row r="19" spans="1:8" ht="16.899999999999999" customHeight="1">
      <c r="A19" s="624" t="s">
        <v>807</v>
      </c>
      <c r="B19" s="625" t="s">
        <v>629</v>
      </c>
      <c r="C19" s="663">
        <v>72950</v>
      </c>
      <c r="D19" s="663">
        <v>72950</v>
      </c>
      <c r="E19" s="663">
        <v>59650</v>
      </c>
      <c r="F19" s="626">
        <v>59650</v>
      </c>
      <c r="G19" s="662">
        <v>0.8176833447566827</v>
      </c>
      <c r="H19" s="662">
        <v>0.8176833447566827</v>
      </c>
    </row>
    <row r="20" spans="1:8" ht="16.899999999999999" customHeight="1">
      <c r="A20" s="624" t="s">
        <v>808</v>
      </c>
      <c r="B20" s="625" t="s">
        <v>630</v>
      </c>
      <c r="C20" s="663">
        <v>51000</v>
      </c>
      <c r="D20" s="663">
        <v>51000</v>
      </c>
      <c r="E20" s="663">
        <v>40000</v>
      </c>
      <c r="F20" s="626">
        <v>40000</v>
      </c>
      <c r="G20" s="662">
        <v>0.78431372549019607</v>
      </c>
      <c r="H20" s="662">
        <v>0.78431372549019607</v>
      </c>
    </row>
    <row r="21" spans="1:8" ht="16.899999999999999" customHeight="1">
      <c r="A21" s="624" t="s">
        <v>809</v>
      </c>
      <c r="B21" s="625" t="s">
        <v>874</v>
      </c>
      <c r="C21" s="663">
        <v>6000</v>
      </c>
      <c r="D21" s="663">
        <v>6000</v>
      </c>
      <c r="E21" s="663">
        <v>5300</v>
      </c>
      <c r="F21" s="626">
        <v>5300</v>
      </c>
      <c r="G21" s="662">
        <v>0.8833333333333333</v>
      </c>
      <c r="H21" s="662">
        <v>0.8833333333333333</v>
      </c>
    </row>
    <row r="22" spans="1:8" ht="16.899999999999999" customHeight="1">
      <c r="A22" s="624" t="s">
        <v>810</v>
      </c>
      <c r="B22" s="625" t="s">
        <v>873</v>
      </c>
      <c r="C22" s="663">
        <v>50</v>
      </c>
      <c r="D22" s="663">
        <v>50</v>
      </c>
      <c r="E22" s="663">
        <v>50</v>
      </c>
      <c r="F22" s="626">
        <v>50</v>
      </c>
      <c r="G22" s="662">
        <v>1</v>
      </c>
      <c r="H22" s="662">
        <v>1</v>
      </c>
    </row>
    <row r="23" spans="1:8" ht="30">
      <c r="A23" s="624">
        <v>3</v>
      </c>
      <c r="B23" s="625" t="s">
        <v>1274</v>
      </c>
      <c r="C23" s="663">
        <v>1784000</v>
      </c>
      <c r="D23" s="663">
        <v>1784000</v>
      </c>
      <c r="E23" s="663">
        <v>2300000</v>
      </c>
      <c r="F23" s="663">
        <v>2300000</v>
      </c>
      <c r="G23" s="662">
        <v>1.289237668161435</v>
      </c>
      <c r="H23" s="662">
        <v>1.289237668161435</v>
      </c>
    </row>
    <row r="24" spans="1:8" ht="15" customHeight="1">
      <c r="A24" s="624" t="s">
        <v>811</v>
      </c>
      <c r="B24" s="625" t="s">
        <v>629</v>
      </c>
      <c r="C24" s="663">
        <v>606000</v>
      </c>
      <c r="D24" s="663">
        <v>606000</v>
      </c>
      <c r="E24" s="626">
        <v>790000</v>
      </c>
      <c r="F24" s="626">
        <v>790000</v>
      </c>
      <c r="G24" s="662">
        <v>1.3036303630363035</v>
      </c>
      <c r="H24" s="662">
        <v>1.3036303630363035</v>
      </c>
    </row>
    <row r="25" spans="1:8" ht="15.75" customHeight="1">
      <c r="A25" s="624" t="s">
        <v>812</v>
      </c>
      <c r="B25" s="625" t="s">
        <v>630</v>
      </c>
      <c r="C25" s="663">
        <v>950000</v>
      </c>
      <c r="D25" s="663">
        <v>950000</v>
      </c>
      <c r="E25" s="626">
        <v>1238000</v>
      </c>
      <c r="F25" s="626">
        <v>1238000</v>
      </c>
      <c r="G25" s="662">
        <v>1.3031578947368421</v>
      </c>
      <c r="H25" s="662">
        <v>1.3031578947368421</v>
      </c>
    </row>
    <row r="26" spans="1:8" ht="15.75" customHeight="1">
      <c r="A26" s="624" t="s">
        <v>813</v>
      </c>
      <c r="B26" s="625" t="s">
        <v>873</v>
      </c>
      <c r="C26" s="663">
        <v>180000</v>
      </c>
      <c r="D26" s="663">
        <v>180000</v>
      </c>
      <c r="E26" s="626">
        <v>205000</v>
      </c>
      <c r="F26" s="626">
        <v>205000</v>
      </c>
      <c r="G26" s="662">
        <v>1.1388888888888888</v>
      </c>
      <c r="H26" s="662">
        <v>1.1388888888888888</v>
      </c>
    </row>
    <row r="27" spans="1:8" ht="18" customHeight="1">
      <c r="A27" s="624" t="s">
        <v>814</v>
      </c>
      <c r="B27" s="625" t="s">
        <v>874</v>
      </c>
      <c r="C27" s="663">
        <v>23000</v>
      </c>
      <c r="D27" s="663">
        <v>23000</v>
      </c>
      <c r="E27" s="626">
        <v>55000</v>
      </c>
      <c r="F27" s="626">
        <v>55000</v>
      </c>
      <c r="G27" s="662">
        <v>2.3913043478260869</v>
      </c>
      <c r="H27" s="662">
        <v>2.3913043478260869</v>
      </c>
    </row>
    <row r="28" spans="1:8" ht="13.5" customHeight="1">
      <c r="A28" s="624" t="s">
        <v>875</v>
      </c>
      <c r="B28" s="625" t="s">
        <v>877</v>
      </c>
      <c r="C28" s="663">
        <v>25000</v>
      </c>
      <c r="D28" s="663">
        <v>25000</v>
      </c>
      <c r="E28" s="626">
        <v>12000</v>
      </c>
      <c r="F28" s="626">
        <v>12000</v>
      </c>
      <c r="G28" s="662">
        <v>0.48</v>
      </c>
      <c r="H28" s="662">
        <v>0.48</v>
      </c>
    </row>
    <row r="29" spans="1:8">
      <c r="A29" s="624">
        <v>4</v>
      </c>
      <c r="B29" s="625" t="s">
        <v>935</v>
      </c>
      <c r="C29" s="663">
        <v>2547550</v>
      </c>
      <c r="D29" s="663">
        <v>2546730</v>
      </c>
      <c r="E29" s="663">
        <v>2995000</v>
      </c>
      <c r="F29" s="663">
        <v>2992200</v>
      </c>
      <c r="G29" s="662">
        <v>1.1756393397578064</v>
      </c>
      <c r="H29" s="662">
        <v>1.1749184248035716</v>
      </c>
    </row>
    <row r="30" spans="1:8" ht="15" customHeight="1">
      <c r="A30" s="624" t="s">
        <v>815</v>
      </c>
      <c r="B30" s="625" t="s">
        <v>629</v>
      </c>
      <c r="C30" s="663">
        <v>1554500</v>
      </c>
      <c r="D30" s="663">
        <v>1554500</v>
      </c>
      <c r="E30" s="663">
        <v>1928500</v>
      </c>
      <c r="F30" s="626">
        <v>1928500</v>
      </c>
      <c r="G30" s="662">
        <v>1.2405918301704728</v>
      </c>
      <c r="H30" s="662">
        <v>1.2405918301704728</v>
      </c>
    </row>
    <row r="31" spans="1:8" ht="15" customHeight="1">
      <c r="A31" s="624" t="s">
        <v>816</v>
      </c>
      <c r="B31" s="625" t="s">
        <v>630</v>
      </c>
      <c r="C31" s="663">
        <v>965550</v>
      </c>
      <c r="D31" s="663">
        <v>965550</v>
      </c>
      <c r="E31" s="663">
        <v>1040000</v>
      </c>
      <c r="F31" s="626">
        <v>1040000</v>
      </c>
      <c r="G31" s="662">
        <v>1.0771063124643985</v>
      </c>
      <c r="H31" s="662">
        <v>1.0771063124643985</v>
      </c>
    </row>
    <row r="32" spans="1:8" ht="15" customHeight="1">
      <c r="A32" s="624" t="s">
        <v>817</v>
      </c>
      <c r="B32" s="625" t="s">
        <v>873</v>
      </c>
      <c r="C32" s="663">
        <v>20000</v>
      </c>
      <c r="D32" s="663">
        <v>19180</v>
      </c>
      <c r="E32" s="663">
        <v>18500</v>
      </c>
      <c r="F32" s="626">
        <v>15700</v>
      </c>
      <c r="G32" s="662">
        <v>0.92500000000000004</v>
      </c>
      <c r="H32" s="662">
        <v>0.81856100104275287</v>
      </c>
    </row>
    <row r="33" spans="1:8" ht="15" customHeight="1">
      <c r="A33" s="624" t="s">
        <v>818</v>
      </c>
      <c r="B33" s="625" t="s">
        <v>874</v>
      </c>
      <c r="C33" s="663">
        <v>7500</v>
      </c>
      <c r="D33" s="663">
        <v>7500</v>
      </c>
      <c r="E33" s="663">
        <v>8000</v>
      </c>
      <c r="F33" s="626">
        <v>8000</v>
      </c>
      <c r="G33" s="662">
        <v>1.0666666666666667</v>
      </c>
      <c r="H33" s="662">
        <v>1.0666666666666667</v>
      </c>
    </row>
    <row r="34" spans="1:8">
      <c r="A34" s="624">
        <v>5</v>
      </c>
      <c r="B34" s="625" t="s">
        <v>267</v>
      </c>
      <c r="C34" s="663">
        <v>1200000</v>
      </c>
      <c r="D34" s="663">
        <v>1200000</v>
      </c>
      <c r="E34" s="663">
        <v>1485500</v>
      </c>
      <c r="F34" s="626">
        <v>1485500</v>
      </c>
      <c r="G34" s="662">
        <v>1.2379166666666668</v>
      </c>
      <c r="H34" s="662">
        <v>1.2379166666666668</v>
      </c>
    </row>
    <row r="35" spans="1:8">
      <c r="A35" s="624">
        <v>6</v>
      </c>
      <c r="B35" s="625" t="s">
        <v>413</v>
      </c>
      <c r="C35" s="663">
        <v>420000</v>
      </c>
      <c r="D35" s="663">
        <v>156300</v>
      </c>
      <c r="E35" s="663">
        <v>440000</v>
      </c>
      <c r="F35" s="663">
        <v>164300</v>
      </c>
      <c r="G35" s="662">
        <v>1.0476190476190477</v>
      </c>
      <c r="H35" s="662">
        <v>1.0511836212412029</v>
      </c>
    </row>
    <row r="36" spans="1:8" s="669" customFormat="1" ht="30">
      <c r="A36" s="664" t="s">
        <v>22</v>
      </c>
      <c r="B36" s="665" t="s">
        <v>414</v>
      </c>
      <c r="C36" s="666">
        <v>156300</v>
      </c>
      <c r="D36" s="666">
        <v>156300</v>
      </c>
      <c r="E36" s="666">
        <v>164300</v>
      </c>
      <c r="F36" s="667">
        <v>164300</v>
      </c>
      <c r="G36" s="668">
        <v>1.0511836212412029</v>
      </c>
      <c r="H36" s="668">
        <v>1.0511836212412029</v>
      </c>
    </row>
    <row r="37" spans="1:8" s="669" customFormat="1" ht="30">
      <c r="A37" s="664" t="s">
        <v>22</v>
      </c>
      <c r="B37" s="665" t="s">
        <v>376</v>
      </c>
      <c r="C37" s="666">
        <v>263700</v>
      </c>
      <c r="D37" s="666">
        <v>0</v>
      </c>
      <c r="E37" s="666">
        <v>275700</v>
      </c>
      <c r="F37" s="666"/>
      <c r="G37" s="668">
        <v>1.0455062571103526</v>
      </c>
      <c r="H37" s="668"/>
    </row>
    <row r="38" spans="1:8">
      <c r="A38" s="624">
        <v>7</v>
      </c>
      <c r="B38" s="625" t="s">
        <v>415</v>
      </c>
      <c r="C38" s="663">
        <v>340700</v>
      </c>
      <c r="D38" s="663">
        <v>340700</v>
      </c>
      <c r="E38" s="663">
        <v>396500</v>
      </c>
      <c r="F38" s="663">
        <v>396500</v>
      </c>
      <c r="G38" s="662">
        <v>1.1637804520105666</v>
      </c>
      <c r="H38" s="662">
        <v>1.1637804520105666</v>
      </c>
    </row>
    <row r="39" spans="1:8">
      <c r="A39" s="624">
        <v>8</v>
      </c>
      <c r="B39" s="625" t="s">
        <v>357</v>
      </c>
      <c r="C39" s="663">
        <v>112000</v>
      </c>
      <c r="D39" s="663">
        <v>73790</v>
      </c>
      <c r="E39" s="663">
        <v>130000</v>
      </c>
      <c r="F39" s="663">
        <v>91000</v>
      </c>
      <c r="G39" s="662">
        <v>1.1607142857142858</v>
      </c>
      <c r="H39" s="662">
        <v>1.2332294348827755</v>
      </c>
    </row>
    <row r="40" spans="1:8">
      <c r="A40" s="624" t="s">
        <v>22</v>
      </c>
      <c r="B40" s="665" t="s">
        <v>416</v>
      </c>
      <c r="C40" s="663">
        <v>38210</v>
      </c>
      <c r="D40" s="663">
        <v>0</v>
      </c>
      <c r="E40" s="663">
        <v>39000</v>
      </c>
      <c r="F40" s="663"/>
      <c r="G40" s="662">
        <v>1.0206752159120649</v>
      </c>
      <c r="H40" s="662"/>
    </row>
    <row r="41" spans="1:8">
      <c r="A41" s="624" t="s">
        <v>22</v>
      </c>
      <c r="B41" s="665" t="s">
        <v>883</v>
      </c>
      <c r="C41" s="663">
        <v>73790</v>
      </c>
      <c r="D41" s="663">
        <v>73790</v>
      </c>
      <c r="E41" s="663">
        <v>91000</v>
      </c>
      <c r="F41" s="663">
        <v>91000</v>
      </c>
      <c r="G41" s="662">
        <v>1.2332294348827755</v>
      </c>
      <c r="H41" s="662">
        <v>1.2332294348827755</v>
      </c>
    </row>
    <row r="42" spans="1:8">
      <c r="A42" s="624" t="s">
        <v>882</v>
      </c>
      <c r="B42" s="665" t="s">
        <v>417</v>
      </c>
      <c r="C42" s="663">
        <v>27360</v>
      </c>
      <c r="D42" s="663">
        <v>27360</v>
      </c>
      <c r="E42" s="663">
        <v>30170</v>
      </c>
      <c r="F42" s="663">
        <v>30170</v>
      </c>
      <c r="G42" s="662">
        <v>1.1027046783625731</v>
      </c>
      <c r="H42" s="662">
        <v>1.1027046783625731</v>
      </c>
    </row>
    <row r="43" spans="1:8">
      <c r="A43" s="624" t="s">
        <v>882</v>
      </c>
      <c r="B43" s="665" t="s">
        <v>418</v>
      </c>
      <c r="C43" s="663">
        <v>36480</v>
      </c>
      <c r="D43" s="663">
        <v>36480</v>
      </c>
      <c r="E43" s="663">
        <v>48580</v>
      </c>
      <c r="F43" s="663">
        <v>48580</v>
      </c>
      <c r="G43" s="662">
        <v>1.3316885964912282</v>
      </c>
      <c r="H43" s="662">
        <v>1.3316885964912282</v>
      </c>
    </row>
    <row r="44" spans="1:8">
      <c r="A44" s="624" t="s">
        <v>882</v>
      </c>
      <c r="B44" s="665" t="s">
        <v>360</v>
      </c>
      <c r="C44" s="663">
        <v>9950</v>
      </c>
      <c r="D44" s="663">
        <v>9950</v>
      </c>
      <c r="E44" s="663">
        <v>12250</v>
      </c>
      <c r="F44" s="663">
        <v>12250</v>
      </c>
      <c r="G44" s="662">
        <v>1.2311557788944723</v>
      </c>
      <c r="H44" s="662">
        <v>1.2311557788944723</v>
      </c>
    </row>
    <row r="45" spans="1:8">
      <c r="A45" s="624">
        <v>9</v>
      </c>
      <c r="B45" s="625" t="s">
        <v>361</v>
      </c>
      <c r="C45" s="663">
        <v>500</v>
      </c>
      <c r="D45" s="663">
        <v>500</v>
      </c>
      <c r="E45" s="663"/>
      <c r="F45" s="663"/>
      <c r="G45" s="662">
        <v>0</v>
      </c>
      <c r="H45" s="662">
        <v>0</v>
      </c>
    </row>
    <row r="46" spans="1:8">
      <c r="A46" s="624">
        <v>10</v>
      </c>
      <c r="B46" s="625" t="s">
        <v>419</v>
      </c>
      <c r="C46" s="663">
        <v>28000</v>
      </c>
      <c r="D46" s="663">
        <v>28000</v>
      </c>
      <c r="E46" s="663">
        <v>28800</v>
      </c>
      <c r="F46" s="663">
        <v>28800</v>
      </c>
      <c r="G46" s="662">
        <v>1.0285714285714285</v>
      </c>
      <c r="H46" s="662">
        <v>1.0285714285714285</v>
      </c>
    </row>
    <row r="47" spans="1:8" ht="19.899999999999999" customHeight="1">
      <c r="A47" s="624">
        <v>11</v>
      </c>
      <c r="B47" s="625" t="s">
        <v>363</v>
      </c>
      <c r="C47" s="663">
        <v>456000</v>
      </c>
      <c r="D47" s="663">
        <v>456000</v>
      </c>
      <c r="E47" s="663">
        <v>400000</v>
      </c>
      <c r="F47" s="663">
        <v>400000</v>
      </c>
      <c r="G47" s="662">
        <v>0.8771929824561403</v>
      </c>
      <c r="H47" s="662">
        <v>0.8771929824561403</v>
      </c>
    </row>
    <row r="48" spans="1:8">
      <c r="A48" s="624">
        <v>12</v>
      </c>
      <c r="B48" s="625" t="s">
        <v>426</v>
      </c>
      <c r="C48" s="663">
        <v>1100000</v>
      </c>
      <c r="D48" s="663">
        <v>1100000</v>
      </c>
      <c r="E48" s="663">
        <v>690000</v>
      </c>
      <c r="F48" s="663">
        <v>690000</v>
      </c>
      <c r="G48" s="662">
        <v>0.62727272727272732</v>
      </c>
      <c r="H48" s="662">
        <v>0.62727272727272732</v>
      </c>
    </row>
    <row r="49" spans="1:8" ht="30">
      <c r="A49" s="624">
        <v>13</v>
      </c>
      <c r="B49" s="625" t="s">
        <v>427</v>
      </c>
      <c r="C49" s="663">
        <v>6500</v>
      </c>
      <c r="D49" s="663">
        <v>6500</v>
      </c>
      <c r="E49" s="663"/>
      <c r="F49" s="663"/>
      <c r="G49" s="662">
        <v>0</v>
      </c>
      <c r="H49" s="662">
        <v>0</v>
      </c>
    </row>
    <row r="50" spans="1:8">
      <c r="A50" s="624">
        <v>14</v>
      </c>
      <c r="B50" s="625" t="s">
        <v>420</v>
      </c>
      <c r="C50" s="663">
        <v>1200000</v>
      </c>
      <c r="D50" s="663">
        <v>1200000</v>
      </c>
      <c r="E50" s="663">
        <v>1200000</v>
      </c>
      <c r="F50" s="670">
        <v>1200000</v>
      </c>
      <c r="G50" s="662">
        <v>1</v>
      </c>
      <c r="H50" s="662">
        <v>1</v>
      </c>
    </row>
    <row r="51" spans="1:8">
      <c r="A51" s="624">
        <v>15</v>
      </c>
      <c r="B51" s="625" t="s">
        <v>366</v>
      </c>
      <c r="C51" s="663">
        <v>55000</v>
      </c>
      <c r="D51" s="663">
        <v>38074.31235</v>
      </c>
      <c r="E51" s="663">
        <v>40000</v>
      </c>
      <c r="F51" s="663">
        <v>30410</v>
      </c>
      <c r="G51" s="662">
        <v>0.72727272727272729</v>
      </c>
      <c r="H51" s="662">
        <v>0.79870122723306392</v>
      </c>
    </row>
    <row r="52" spans="1:8">
      <c r="A52" s="624"/>
      <c r="B52" s="625" t="s">
        <v>956</v>
      </c>
      <c r="C52" s="663">
        <v>24179.553785714288</v>
      </c>
      <c r="D52" s="663">
        <v>7253.8661357142864</v>
      </c>
      <c r="E52" s="663">
        <v>13700</v>
      </c>
      <c r="F52" s="663">
        <v>4110</v>
      </c>
      <c r="G52" s="662"/>
      <c r="H52" s="662"/>
    </row>
    <row r="53" spans="1:8">
      <c r="A53" s="624"/>
      <c r="B53" s="625" t="s">
        <v>957</v>
      </c>
      <c r="C53" s="663">
        <v>30820.446214285712</v>
      </c>
      <c r="D53" s="663">
        <v>30820.446214285712</v>
      </c>
      <c r="E53" s="663">
        <v>26300</v>
      </c>
      <c r="F53" s="663">
        <v>26300</v>
      </c>
      <c r="G53" s="662"/>
      <c r="H53" s="662"/>
    </row>
    <row r="54" spans="1:8">
      <c r="A54" s="624">
        <v>16</v>
      </c>
      <c r="B54" s="625" t="s">
        <v>367</v>
      </c>
      <c r="C54" s="663">
        <v>300000</v>
      </c>
      <c r="D54" s="663">
        <v>191431</v>
      </c>
      <c r="E54" s="663">
        <v>230200</v>
      </c>
      <c r="F54" s="663">
        <v>124200</v>
      </c>
      <c r="G54" s="662">
        <v>0.76733333333333331</v>
      </c>
      <c r="H54" s="662">
        <v>0.6487977391331603</v>
      </c>
    </row>
    <row r="55" spans="1:8">
      <c r="A55" s="624"/>
      <c r="B55" s="625" t="s">
        <v>953</v>
      </c>
      <c r="C55" s="663">
        <v>70000</v>
      </c>
      <c r="D55" s="663"/>
      <c r="E55" s="663">
        <v>75000</v>
      </c>
      <c r="F55" s="663"/>
      <c r="G55" s="662"/>
      <c r="H55" s="662"/>
    </row>
    <row r="56" spans="1:8" ht="30">
      <c r="A56" s="624"/>
      <c r="B56" s="625" t="s">
        <v>954</v>
      </c>
      <c r="C56" s="663">
        <v>26500</v>
      </c>
      <c r="D56" s="663"/>
      <c r="E56" s="663">
        <v>31000</v>
      </c>
      <c r="F56" s="663"/>
      <c r="G56" s="662"/>
      <c r="H56" s="662"/>
    </row>
    <row r="57" spans="1:8">
      <c r="A57" s="624"/>
      <c r="B57" s="625" t="s">
        <v>955</v>
      </c>
      <c r="C57" s="663">
        <v>203500</v>
      </c>
      <c r="D57" s="663">
        <v>191431</v>
      </c>
      <c r="E57" s="663">
        <v>124200</v>
      </c>
      <c r="F57" s="663">
        <v>124200</v>
      </c>
      <c r="G57" s="662"/>
      <c r="H57" s="662"/>
    </row>
    <row r="58" spans="1:8" ht="30">
      <c r="A58" s="624">
        <v>17</v>
      </c>
      <c r="B58" s="625" t="s">
        <v>421</v>
      </c>
      <c r="C58" s="663">
        <v>27750</v>
      </c>
      <c r="D58" s="663">
        <v>27750</v>
      </c>
      <c r="E58" s="663">
        <v>29000</v>
      </c>
      <c r="F58" s="663">
        <v>29000</v>
      </c>
      <c r="G58" s="662">
        <v>1.045045045045045</v>
      </c>
      <c r="H58" s="662">
        <v>1.045045045045045</v>
      </c>
    </row>
    <row r="59" spans="1:8">
      <c r="A59" s="624">
        <v>18</v>
      </c>
      <c r="B59" s="625" t="s">
        <v>1298</v>
      </c>
      <c r="C59" s="663">
        <v>84000</v>
      </c>
      <c r="D59" s="663">
        <v>84000</v>
      </c>
      <c r="E59" s="663">
        <v>40000</v>
      </c>
      <c r="F59" s="663">
        <v>40000</v>
      </c>
      <c r="G59" s="662">
        <v>0.47619047619047616</v>
      </c>
      <c r="H59" s="662">
        <v>0.47619047619047616</v>
      </c>
    </row>
    <row r="60" spans="1:8" s="620" customFormat="1" ht="14.25">
      <c r="A60" s="621" t="s">
        <v>70</v>
      </c>
      <c r="B60" s="622" t="s">
        <v>273</v>
      </c>
      <c r="C60" s="661">
        <v>0</v>
      </c>
      <c r="D60" s="661">
        <v>0</v>
      </c>
      <c r="E60" s="661"/>
      <c r="F60" s="661"/>
      <c r="G60" s="660"/>
      <c r="H60" s="660"/>
    </row>
    <row r="61" spans="1:8" s="620" customFormat="1" ht="14.25">
      <c r="A61" s="621" t="s">
        <v>73</v>
      </c>
      <c r="B61" s="622" t="s">
        <v>274</v>
      </c>
      <c r="C61" s="661">
        <v>1905000</v>
      </c>
      <c r="D61" s="661">
        <v>0</v>
      </c>
      <c r="E61" s="661">
        <v>1930000</v>
      </c>
      <c r="F61" s="661">
        <v>0</v>
      </c>
      <c r="G61" s="660">
        <v>1.0131233595800524</v>
      </c>
      <c r="H61" s="660"/>
    </row>
    <row r="62" spans="1:8" s="620" customFormat="1" ht="16.5" customHeight="1">
      <c r="A62" s="628" t="s">
        <v>77</v>
      </c>
      <c r="B62" s="629" t="s">
        <v>378</v>
      </c>
      <c r="C62" s="671">
        <v>0</v>
      </c>
      <c r="D62" s="671">
        <v>0</v>
      </c>
      <c r="E62" s="671"/>
      <c r="F62" s="671"/>
      <c r="G62" s="672"/>
      <c r="H62" s="672"/>
    </row>
  </sheetData>
  <customSheetViews>
    <customSheetView guid="{9F606621-8853-4836-9A7E-DBA5CF152671}" scale="90" showPageBreaks="1" hiddenRows="1">
      <pane xSplit="2" ySplit="8" topLeftCell="D36" activePane="bottomRight" state="frozen"/>
      <selection pane="bottomRight" activeCell="I45" sqref="I45"/>
      <pageMargins left="0.35433070866141736" right="0.19685039370078741" top="0.47244094488188981" bottom="0.39370078740157483" header="0.31496062992125984" footer="0.15748031496062992"/>
      <pageSetup paperSize="8" orientation="landscape" r:id="rId1"/>
    </customSheetView>
    <customSheetView guid="{DB9039ED-C6EA-422D-9A5D-D152D95EDC67}" showPageBreaks="1" printArea="1" hiddenRows="1" hiddenColumns="1">
      <pane xSplit="9" ySplit="8" topLeftCell="K24" activePane="bottomRight" state="frozen"/>
      <selection pane="bottomRight" activeCell="Y41" sqref="Y41"/>
      <pageMargins left="0.70866141732283472" right="0.11811023622047245" top="0.74803149606299213" bottom="0.74803149606299213" header="0.31496062992125984" footer="0.31496062992125984"/>
      <pageSetup paperSize="9" scale="70" orientation="portrait" blackAndWhite="1" r:id="rId2"/>
    </customSheetView>
  </customSheetViews>
  <mergeCells count="16">
    <mergeCell ref="F1:H1"/>
    <mergeCell ref="A1:B1"/>
    <mergeCell ref="A2:B2"/>
    <mergeCell ref="H7:H8"/>
    <mergeCell ref="G6:H6"/>
    <mergeCell ref="A4:H4"/>
    <mergeCell ref="C7:C8"/>
    <mergeCell ref="B6:B8"/>
    <mergeCell ref="A6:A8"/>
    <mergeCell ref="C6:D6"/>
    <mergeCell ref="E6:F6"/>
    <mergeCell ref="E7:E8"/>
    <mergeCell ref="D7:D8"/>
    <mergeCell ref="F7:F8"/>
    <mergeCell ref="G7:G8"/>
    <mergeCell ref="F5:H5"/>
  </mergeCells>
  <pageMargins left="0.82677165354330717" right="0.19685039370078741" top="0.47244094488188981" bottom="0.15748031496062992" header="0.31496062992125984" footer="0.15748031496062992"/>
  <pageSetup paperSize="9" scale="90" orientation="portrait" blackAndWhite="1" r:id="rId3"/>
</worksheet>
</file>

<file path=xl/worksheets/sheet18.xml><?xml version="1.0" encoding="utf-8"?>
<worksheet xmlns="http://schemas.openxmlformats.org/spreadsheetml/2006/main" xmlns:r="http://schemas.openxmlformats.org/officeDocument/2006/relationships">
  <sheetPr>
    <tabColor theme="5"/>
  </sheetPr>
  <dimension ref="A1:E62"/>
  <sheetViews>
    <sheetView showZeros="0" topLeftCell="A23" zoomScaleNormal="85" workbookViewId="0">
      <selection activeCell="B75" sqref="B75"/>
    </sheetView>
  </sheetViews>
  <sheetFormatPr defaultColWidth="9.140625" defaultRowHeight="15"/>
  <cols>
    <col min="1" max="1" width="6" style="612" customWidth="1"/>
    <col min="2" max="2" width="59.28515625" style="612" customWidth="1"/>
    <col min="3" max="3" width="11.5703125" style="612" customWidth="1"/>
    <col min="4" max="4" width="11.7109375" style="612" customWidth="1"/>
    <col min="5" max="5" width="11.85546875" style="612" customWidth="1"/>
    <col min="6" max="26" width="9.140625" style="612" customWidth="1"/>
    <col min="27" max="16384" width="9.140625" style="612"/>
  </cols>
  <sheetData>
    <row r="1" spans="1:5" ht="15.75">
      <c r="A1" s="734" t="s">
        <v>1517</v>
      </c>
      <c r="B1" s="734"/>
      <c r="C1" s="654"/>
      <c r="D1" s="741" t="s">
        <v>1518</v>
      </c>
      <c r="E1" s="741"/>
    </row>
    <row r="2" spans="1:5" ht="15.75">
      <c r="A2" s="752" t="s">
        <v>1513</v>
      </c>
      <c r="B2" s="752"/>
      <c r="C2" s="677"/>
      <c r="D2" s="677"/>
      <c r="E2" s="677"/>
    </row>
    <row r="3" spans="1:5">
      <c r="A3" s="677"/>
      <c r="B3" s="677"/>
      <c r="C3" s="677"/>
      <c r="D3" s="677"/>
      <c r="E3" s="677"/>
    </row>
    <row r="4" spans="1:5" ht="44.25" customHeight="1">
      <c r="A4" s="751" t="s">
        <v>849</v>
      </c>
      <c r="B4" s="751"/>
      <c r="C4" s="751"/>
      <c r="D4" s="751"/>
      <c r="E4" s="751"/>
    </row>
    <row r="5" spans="1:5" s="656" customFormat="1" ht="27" customHeight="1">
      <c r="C5" s="657"/>
      <c r="D5" s="753" t="s">
        <v>536</v>
      </c>
      <c r="E5" s="753"/>
    </row>
    <row r="6" spans="1:5" ht="24.6" customHeight="1">
      <c r="A6" s="735" t="s">
        <v>3</v>
      </c>
      <c r="B6" s="735" t="s">
        <v>4</v>
      </c>
      <c r="C6" s="735" t="s">
        <v>1355</v>
      </c>
      <c r="D6" s="748" t="s">
        <v>162</v>
      </c>
      <c r="E6" s="755"/>
    </row>
    <row r="7" spans="1:5">
      <c r="A7" s="735"/>
      <c r="B7" s="735"/>
      <c r="C7" s="735"/>
      <c r="D7" s="499" t="s">
        <v>890</v>
      </c>
      <c r="E7" s="499" t="s">
        <v>889</v>
      </c>
    </row>
    <row r="8" spans="1:5">
      <c r="A8" s="499" t="s">
        <v>15</v>
      </c>
      <c r="B8" s="499" t="s">
        <v>16</v>
      </c>
      <c r="C8" s="499">
        <v>1</v>
      </c>
      <c r="D8" s="499">
        <v>2</v>
      </c>
      <c r="E8" s="499">
        <v>3</v>
      </c>
    </row>
    <row r="9" spans="1:5" s="620" customFormat="1" ht="14.25">
      <c r="A9" s="616"/>
      <c r="B9" s="617" t="s">
        <v>90</v>
      </c>
      <c r="C9" s="659">
        <v>11890921</v>
      </c>
      <c r="D9" s="659">
        <v>6270960</v>
      </c>
      <c r="E9" s="659">
        <v>5619961</v>
      </c>
    </row>
    <row r="10" spans="1:5" s="620" customFormat="1" ht="14.25">
      <c r="A10" s="621" t="s">
        <v>15</v>
      </c>
      <c r="B10" s="622" t="s">
        <v>386</v>
      </c>
      <c r="C10" s="661">
        <v>10891523</v>
      </c>
      <c r="D10" s="661">
        <v>5271562</v>
      </c>
      <c r="E10" s="661">
        <v>5619961</v>
      </c>
    </row>
    <row r="11" spans="1:5" s="620" customFormat="1" ht="14.25">
      <c r="A11" s="621" t="s">
        <v>83</v>
      </c>
      <c r="B11" s="622" t="s">
        <v>93</v>
      </c>
      <c r="C11" s="661">
        <v>3007216</v>
      </c>
      <c r="D11" s="661">
        <v>2188302</v>
      </c>
      <c r="E11" s="661">
        <v>818914</v>
      </c>
    </row>
    <row r="12" spans="1:5">
      <c r="A12" s="624">
        <v>1</v>
      </c>
      <c r="B12" s="625" t="s">
        <v>387</v>
      </c>
      <c r="C12" s="663">
        <v>3007216</v>
      </c>
      <c r="D12" s="663">
        <v>2188302</v>
      </c>
      <c r="E12" s="663">
        <v>818914</v>
      </c>
    </row>
    <row r="13" spans="1:5">
      <c r="A13" s="624"/>
      <c r="B13" s="665" t="s">
        <v>428</v>
      </c>
      <c r="C13" s="663"/>
      <c r="D13" s="663"/>
      <c r="E13" s="663"/>
    </row>
    <row r="14" spans="1:5">
      <c r="A14" s="624" t="s">
        <v>22</v>
      </c>
      <c r="B14" s="665" t="s">
        <v>389</v>
      </c>
      <c r="C14" s="663"/>
      <c r="D14" s="663"/>
      <c r="E14" s="663"/>
    </row>
    <row r="15" spans="1:5">
      <c r="A15" s="624" t="s">
        <v>22</v>
      </c>
      <c r="B15" s="665" t="s">
        <v>390</v>
      </c>
      <c r="C15" s="663"/>
      <c r="D15" s="663"/>
      <c r="E15" s="663"/>
    </row>
    <row r="16" spans="1:5">
      <c r="A16" s="624"/>
      <c r="B16" s="665" t="s">
        <v>391</v>
      </c>
      <c r="C16" s="663">
        <v>3007216</v>
      </c>
      <c r="D16" s="663">
        <v>2188302</v>
      </c>
      <c r="E16" s="663">
        <v>818914</v>
      </c>
    </row>
    <row r="17" spans="1:5">
      <c r="A17" s="624" t="s">
        <v>22</v>
      </c>
      <c r="B17" s="665" t="s">
        <v>894</v>
      </c>
      <c r="C17" s="663">
        <v>623116</v>
      </c>
      <c r="D17" s="663">
        <v>358202</v>
      </c>
      <c r="E17" s="663">
        <v>264914</v>
      </c>
    </row>
    <row r="18" spans="1:5" hidden="1">
      <c r="A18" s="624"/>
      <c r="B18" s="665" t="s">
        <v>1178</v>
      </c>
      <c r="C18" s="663">
        <v>623116</v>
      </c>
      <c r="D18" s="663">
        <v>358202</v>
      </c>
      <c r="E18" s="663">
        <v>264914</v>
      </c>
    </row>
    <row r="19" spans="1:5" ht="30" hidden="1">
      <c r="A19" s="624"/>
      <c r="B19" s="665" t="s">
        <v>1361</v>
      </c>
      <c r="C19" s="663"/>
      <c r="D19" s="663"/>
      <c r="E19" s="663"/>
    </row>
    <row r="20" spans="1:5">
      <c r="A20" s="624" t="s">
        <v>22</v>
      </c>
      <c r="B20" s="665" t="s">
        <v>1725</v>
      </c>
      <c r="C20" s="663">
        <v>660000</v>
      </c>
      <c r="D20" s="663">
        <v>206000</v>
      </c>
      <c r="E20" s="663">
        <v>454000</v>
      </c>
    </row>
    <row r="21" spans="1:5">
      <c r="A21" s="624" t="s">
        <v>22</v>
      </c>
      <c r="B21" s="665" t="s">
        <v>393</v>
      </c>
      <c r="C21" s="663">
        <v>1200000</v>
      </c>
      <c r="D21" s="663">
        <v>1100000</v>
      </c>
      <c r="E21" s="663">
        <v>100000</v>
      </c>
    </row>
    <row r="22" spans="1:5" ht="45">
      <c r="A22" s="624">
        <v>2</v>
      </c>
      <c r="B22" s="625" t="s">
        <v>394</v>
      </c>
      <c r="C22" s="663">
        <v>0</v>
      </c>
      <c r="D22" s="663">
        <v>0</v>
      </c>
      <c r="E22" s="663">
        <v>0</v>
      </c>
    </row>
    <row r="23" spans="1:5">
      <c r="A23" s="624">
        <v>3</v>
      </c>
      <c r="B23" s="625" t="s">
        <v>395</v>
      </c>
      <c r="C23" s="663">
        <v>0</v>
      </c>
      <c r="D23" s="663"/>
      <c r="E23" s="663"/>
    </row>
    <row r="24" spans="1:5" s="620" customFormat="1" ht="14.25">
      <c r="A24" s="621" t="s">
        <v>70</v>
      </c>
      <c r="B24" s="622" t="s">
        <v>96</v>
      </c>
      <c r="C24" s="661">
        <v>7179056</v>
      </c>
      <c r="D24" s="661">
        <v>2627125</v>
      </c>
      <c r="E24" s="661">
        <v>4551931</v>
      </c>
    </row>
    <row r="25" spans="1:5">
      <c r="A25" s="624"/>
      <c r="B25" s="665" t="s">
        <v>134</v>
      </c>
      <c r="C25" s="663"/>
      <c r="D25" s="663"/>
      <c r="E25" s="663"/>
    </row>
    <row r="26" spans="1:5">
      <c r="A26" s="624">
        <v>1</v>
      </c>
      <c r="B26" s="665" t="s">
        <v>389</v>
      </c>
      <c r="C26" s="663">
        <v>3008759</v>
      </c>
      <c r="D26" s="663">
        <v>694763</v>
      </c>
      <c r="E26" s="663">
        <v>2313996</v>
      </c>
    </row>
    <row r="27" spans="1:5">
      <c r="A27" s="624"/>
      <c r="B27" s="665" t="s">
        <v>905</v>
      </c>
      <c r="C27" s="663">
        <v>2816687</v>
      </c>
      <c r="D27" s="663">
        <v>547142</v>
      </c>
      <c r="E27" s="663">
        <v>2269545</v>
      </c>
    </row>
    <row r="28" spans="1:5">
      <c r="A28" s="624"/>
      <c r="B28" s="665" t="s">
        <v>906</v>
      </c>
      <c r="C28" s="663">
        <v>192072</v>
      </c>
      <c r="D28" s="663">
        <v>147621</v>
      </c>
      <c r="E28" s="663">
        <v>44451</v>
      </c>
    </row>
    <row r="29" spans="1:5">
      <c r="A29" s="624">
        <v>2</v>
      </c>
      <c r="B29" s="665" t="s">
        <v>429</v>
      </c>
      <c r="C29" s="663">
        <v>27586</v>
      </c>
      <c r="D29" s="663">
        <v>27586</v>
      </c>
      <c r="E29" s="663">
        <v>0</v>
      </c>
    </row>
    <row r="30" spans="1:5">
      <c r="A30" s="624">
        <v>4</v>
      </c>
      <c r="B30" s="665" t="s">
        <v>507</v>
      </c>
      <c r="C30" s="663">
        <v>652109</v>
      </c>
      <c r="D30" s="663">
        <v>636824</v>
      </c>
      <c r="E30" s="663">
        <v>15285</v>
      </c>
    </row>
    <row r="31" spans="1:5">
      <c r="A31" s="624">
        <v>5</v>
      </c>
      <c r="B31" s="665" t="s">
        <v>508</v>
      </c>
      <c r="C31" s="663">
        <v>49657</v>
      </c>
      <c r="D31" s="663">
        <v>26589</v>
      </c>
      <c r="E31" s="663">
        <v>23068</v>
      </c>
    </row>
    <row r="32" spans="1:5">
      <c r="A32" s="624">
        <v>6</v>
      </c>
      <c r="B32" s="665" t="s">
        <v>509</v>
      </c>
      <c r="C32" s="663">
        <v>33272</v>
      </c>
      <c r="D32" s="663">
        <v>15636</v>
      </c>
      <c r="E32" s="663">
        <v>17636</v>
      </c>
    </row>
    <row r="33" spans="1:5">
      <c r="A33" s="624">
        <v>7</v>
      </c>
      <c r="B33" s="665" t="s">
        <v>510</v>
      </c>
      <c r="C33" s="663">
        <v>26965</v>
      </c>
      <c r="D33" s="663">
        <v>14070</v>
      </c>
      <c r="E33" s="663">
        <v>12895</v>
      </c>
    </row>
    <row r="34" spans="1:5">
      <c r="A34" s="624">
        <v>8</v>
      </c>
      <c r="B34" s="665" t="s">
        <v>511</v>
      </c>
      <c r="C34" s="663">
        <v>152674</v>
      </c>
      <c r="D34" s="663">
        <v>78422</v>
      </c>
      <c r="E34" s="663">
        <v>74252</v>
      </c>
    </row>
    <row r="35" spans="1:5">
      <c r="A35" s="624">
        <v>9</v>
      </c>
      <c r="B35" s="665" t="s">
        <v>512</v>
      </c>
      <c r="C35" s="663">
        <v>1287432</v>
      </c>
      <c r="D35" s="663">
        <v>619273</v>
      </c>
      <c r="E35" s="663">
        <v>668159</v>
      </c>
    </row>
    <row r="36" spans="1:5">
      <c r="A36" s="624">
        <v>10</v>
      </c>
      <c r="B36" s="665" t="s">
        <v>897</v>
      </c>
      <c r="C36" s="663">
        <v>1320620</v>
      </c>
      <c r="D36" s="663">
        <v>387068</v>
      </c>
      <c r="E36" s="663">
        <v>933552</v>
      </c>
    </row>
    <row r="37" spans="1:5">
      <c r="A37" s="624">
        <v>11</v>
      </c>
      <c r="B37" s="665" t="s">
        <v>514</v>
      </c>
      <c r="C37" s="663">
        <v>356786</v>
      </c>
      <c r="D37" s="663">
        <v>47717</v>
      </c>
      <c r="E37" s="663">
        <v>309069</v>
      </c>
    </row>
    <row r="38" spans="1:5" s="620" customFormat="1">
      <c r="A38" s="621" t="s">
        <v>73</v>
      </c>
      <c r="B38" s="622" t="s">
        <v>406</v>
      </c>
      <c r="C38" s="661">
        <v>22624</v>
      </c>
      <c r="D38" s="661">
        <v>22624</v>
      </c>
      <c r="E38" s="663">
        <v>0</v>
      </c>
    </row>
    <row r="39" spans="1:5" s="620" customFormat="1">
      <c r="A39" s="621" t="s">
        <v>77</v>
      </c>
      <c r="B39" s="622" t="s">
        <v>407</v>
      </c>
      <c r="C39" s="661">
        <v>1260</v>
      </c>
      <c r="D39" s="661">
        <v>1260</v>
      </c>
      <c r="E39" s="663">
        <v>0</v>
      </c>
    </row>
    <row r="40" spans="1:5" s="620" customFormat="1" ht="14.25">
      <c r="A40" s="621" t="s">
        <v>113</v>
      </c>
      <c r="B40" s="622" t="s">
        <v>241</v>
      </c>
      <c r="C40" s="661">
        <v>260714</v>
      </c>
      <c r="D40" s="661">
        <v>96959</v>
      </c>
      <c r="E40" s="661">
        <v>163755</v>
      </c>
    </row>
    <row r="41" spans="1:5" s="620" customFormat="1" ht="14.25">
      <c r="A41" s="621" t="s">
        <v>396</v>
      </c>
      <c r="B41" s="622" t="s">
        <v>98</v>
      </c>
      <c r="C41" s="661">
        <v>420653</v>
      </c>
      <c r="D41" s="661">
        <v>335292</v>
      </c>
      <c r="E41" s="661">
        <v>85361</v>
      </c>
    </row>
    <row r="42" spans="1:5" s="620" customFormat="1" ht="14.25">
      <c r="A42" s="621" t="s">
        <v>16</v>
      </c>
      <c r="B42" s="622" t="s">
        <v>398</v>
      </c>
      <c r="C42" s="661">
        <v>999398</v>
      </c>
      <c r="D42" s="661">
        <v>999398</v>
      </c>
      <c r="E42" s="661">
        <v>0</v>
      </c>
    </row>
    <row r="43" spans="1:5" s="620" customFormat="1" ht="14.25">
      <c r="A43" s="621" t="s">
        <v>83</v>
      </c>
      <c r="B43" s="622" t="s">
        <v>243</v>
      </c>
      <c r="C43" s="661">
        <v>169576</v>
      </c>
      <c r="D43" s="661">
        <v>169576</v>
      </c>
      <c r="E43" s="661">
        <v>0</v>
      </c>
    </row>
    <row r="44" spans="1:5">
      <c r="A44" s="624">
        <v>1</v>
      </c>
      <c r="B44" s="625" t="s">
        <v>900</v>
      </c>
      <c r="C44" s="663">
        <v>143700</v>
      </c>
      <c r="D44" s="663">
        <v>143700</v>
      </c>
      <c r="E44" s="663">
        <v>0</v>
      </c>
    </row>
    <row r="45" spans="1:5">
      <c r="A45" s="624"/>
      <c r="B45" s="625" t="s">
        <v>909</v>
      </c>
      <c r="C45" s="663">
        <v>103100</v>
      </c>
      <c r="D45" s="663">
        <v>103100</v>
      </c>
      <c r="E45" s="663"/>
    </row>
    <row r="46" spans="1:5">
      <c r="A46" s="624"/>
      <c r="B46" s="625" t="s">
        <v>910</v>
      </c>
      <c r="C46" s="663">
        <v>40600</v>
      </c>
      <c r="D46" s="663">
        <v>40600</v>
      </c>
      <c r="E46" s="663"/>
    </row>
    <row r="47" spans="1:5">
      <c r="A47" s="624">
        <v>2</v>
      </c>
      <c r="B47" s="625" t="s">
        <v>899</v>
      </c>
      <c r="C47" s="663">
        <v>25876</v>
      </c>
      <c r="D47" s="663">
        <v>25876</v>
      </c>
      <c r="E47" s="663">
        <v>0</v>
      </c>
    </row>
    <row r="48" spans="1:5">
      <c r="A48" s="624"/>
      <c r="B48" s="625" t="s">
        <v>909</v>
      </c>
      <c r="C48" s="663">
        <v>15146</v>
      </c>
      <c r="D48" s="663">
        <v>15146</v>
      </c>
      <c r="E48" s="663"/>
    </row>
    <row r="49" spans="1:5">
      <c r="A49" s="624"/>
      <c r="B49" s="625" t="s">
        <v>910</v>
      </c>
      <c r="C49" s="663">
        <v>10730</v>
      </c>
      <c r="D49" s="663">
        <v>10730</v>
      </c>
      <c r="E49" s="663"/>
    </row>
    <row r="50" spans="1:5">
      <c r="A50" s="624">
        <v>3</v>
      </c>
      <c r="B50" s="625" t="s">
        <v>1309</v>
      </c>
      <c r="C50" s="663"/>
      <c r="D50" s="663"/>
      <c r="E50" s="663"/>
    </row>
    <row r="51" spans="1:5">
      <c r="A51" s="624"/>
      <c r="B51" s="625" t="s">
        <v>1362</v>
      </c>
      <c r="C51" s="663"/>
      <c r="D51" s="663"/>
      <c r="E51" s="663"/>
    </row>
    <row r="52" spans="1:5">
      <c r="A52" s="624"/>
      <c r="B52" s="625" t="s">
        <v>1363</v>
      </c>
      <c r="C52" s="663"/>
      <c r="D52" s="663"/>
      <c r="E52" s="663"/>
    </row>
    <row r="53" spans="1:5" s="620" customFormat="1" ht="14.25">
      <c r="A53" s="621" t="s">
        <v>70</v>
      </c>
      <c r="B53" s="622" t="s">
        <v>244</v>
      </c>
      <c r="C53" s="661">
        <v>829822</v>
      </c>
      <c r="D53" s="661">
        <v>829822</v>
      </c>
      <c r="E53" s="661">
        <v>0</v>
      </c>
    </row>
    <row r="54" spans="1:5">
      <c r="A54" s="624"/>
      <c r="B54" s="625" t="s">
        <v>340</v>
      </c>
      <c r="C54" s="663">
        <v>679881</v>
      </c>
      <c r="D54" s="663">
        <v>679881</v>
      </c>
      <c r="E54" s="663"/>
    </row>
    <row r="55" spans="1:5">
      <c r="A55" s="678"/>
      <c r="B55" s="679" t="s">
        <v>96</v>
      </c>
      <c r="C55" s="675">
        <v>149941</v>
      </c>
      <c r="D55" s="675">
        <v>149941</v>
      </c>
      <c r="E55" s="675">
        <v>0</v>
      </c>
    </row>
    <row r="56" spans="1:5">
      <c r="A56" s="628" t="s">
        <v>79</v>
      </c>
      <c r="B56" s="629" t="s">
        <v>430</v>
      </c>
      <c r="C56" s="676"/>
      <c r="D56" s="676"/>
      <c r="E56" s="676"/>
    </row>
    <row r="57" spans="1:5" hidden="1">
      <c r="A57" s="673" t="s">
        <v>1726</v>
      </c>
    </row>
    <row r="58" spans="1:5" s="615" customFormat="1" ht="68.25" hidden="1" customHeight="1">
      <c r="A58" s="754" t="s">
        <v>432</v>
      </c>
      <c r="B58" s="754"/>
      <c r="C58" s="754"/>
      <c r="D58" s="754"/>
      <c r="E58" s="754"/>
    </row>
    <row r="59" spans="1:5" s="615" customFormat="1" ht="36" hidden="1" customHeight="1">
      <c r="A59" s="754" t="s">
        <v>431</v>
      </c>
      <c r="B59" s="754"/>
      <c r="C59" s="754"/>
      <c r="D59" s="754"/>
      <c r="E59" s="754"/>
    </row>
    <row r="60" spans="1:5" hidden="1"/>
    <row r="61" spans="1:5" hidden="1">
      <c r="B61" s="612" t="s">
        <v>1724</v>
      </c>
    </row>
    <row r="62" spans="1:5" hidden="1"/>
  </sheetData>
  <customSheetViews>
    <customSheetView guid="{9F606621-8853-4836-9A7E-DBA5CF152671}" showPageBreaks="1" hiddenColumns="1">
      <pane xSplit="2" ySplit="7" topLeftCell="F8" activePane="bottomRight" state="frozen"/>
      <selection pane="bottomRight" activeCell="G78" sqref="G78"/>
      <pageMargins left="0.6" right="0.23622047244094491" top="0.35433070866141736" bottom="0.19685039370078741" header="0.31496062992125984" footer="0.15748031496062992"/>
      <pageSetup paperSize="8" scale="75" orientation="portrait" blackAndWhite="1" r:id="rId1"/>
    </customSheetView>
    <customSheetView guid="{DB9039ED-C6EA-422D-9A5D-D152D95EDC67}" scale="115" showPageBreaks="1" zeroValues="0" printArea="1" hiddenRows="1" hiddenColumns="1" topLeftCell="A69">
      <selection activeCell="G80" sqref="G80"/>
      <colBreaks count="1" manualBreakCount="1">
        <brk id="23" max="1048575" man="1"/>
      </colBreaks>
      <pageMargins left="0.9055118110236221" right="0.39370078740157483" top="0.74803149606299213" bottom="0.74803149606299213" header="0.31496062992125984" footer="0.31496062992125984"/>
      <printOptions horizontalCentered="1"/>
      <pageSetup paperSize="8" scale="80" orientation="landscape" blackAndWhite="1" r:id="rId2"/>
    </customSheetView>
  </customSheetViews>
  <mergeCells count="11">
    <mergeCell ref="A59:E59"/>
    <mergeCell ref="A6:A7"/>
    <mergeCell ref="B6:B7"/>
    <mergeCell ref="C6:C7"/>
    <mergeCell ref="D6:E6"/>
    <mergeCell ref="A58:E58"/>
    <mergeCell ref="A4:E4"/>
    <mergeCell ref="D1:E1"/>
    <mergeCell ref="A1:B1"/>
    <mergeCell ref="A2:B2"/>
    <mergeCell ref="D5:E5"/>
  </mergeCells>
  <printOptions horizontalCentered="1"/>
  <pageMargins left="0.17" right="0.15748031496063" top="0.35433070866141703" bottom="0.196850393700787" header="0.31496062992126" footer="0.15748031496063"/>
  <pageSetup paperSize="9" scale="90" orientation="portrait" blackAndWhite="1" r:id="rId3"/>
</worksheet>
</file>

<file path=xl/worksheets/sheet19.xml><?xml version="1.0" encoding="utf-8"?>
<worksheet xmlns="http://schemas.openxmlformats.org/spreadsheetml/2006/main" xmlns:r="http://schemas.openxmlformats.org/officeDocument/2006/relationships">
  <dimension ref="A1:O69"/>
  <sheetViews>
    <sheetView topLeftCell="A52" workbookViewId="0">
      <selection activeCell="C64" sqref="C64"/>
    </sheetView>
  </sheetViews>
  <sheetFormatPr defaultRowHeight="15"/>
  <cols>
    <col min="1" max="1" width="5.7109375" customWidth="1"/>
    <col min="2" max="2" width="42.5703125" customWidth="1"/>
    <col min="3" max="6" width="12.42578125" customWidth="1"/>
    <col min="12" max="13" width="14.28515625" customWidth="1"/>
  </cols>
  <sheetData>
    <row r="1" spans="1:10" ht="22.5" customHeight="1">
      <c r="A1" s="706" t="s">
        <v>433</v>
      </c>
      <c r="B1" s="706"/>
      <c r="C1" s="706"/>
      <c r="D1" s="706"/>
      <c r="E1" s="706"/>
      <c r="F1" s="706"/>
    </row>
    <row r="2" spans="1:10" ht="44.25" customHeight="1">
      <c r="A2" s="701" t="s">
        <v>823</v>
      </c>
      <c r="B2" s="701"/>
      <c r="C2" s="701"/>
      <c r="D2" s="701"/>
      <c r="E2" s="701"/>
      <c r="F2" s="701"/>
    </row>
    <row r="3" spans="1:10" ht="20.25" customHeight="1">
      <c r="A3" s="707"/>
      <c r="B3" s="707"/>
      <c r="C3" s="707"/>
      <c r="D3" s="707"/>
      <c r="E3" s="707"/>
      <c r="F3" s="707"/>
    </row>
    <row r="4" spans="1:10">
      <c r="B4" s="1"/>
      <c r="C4" s="1"/>
      <c r="D4" s="1"/>
      <c r="E4" s="708" t="s">
        <v>56</v>
      </c>
      <c r="F4" s="708"/>
    </row>
    <row r="5" spans="1:10" ht="45" customHeight="1">
      <c r="A5" s="23" t="s">
        <v>3</v>
      </c>
      <c r="B5" s="23" t="s">
        <v>4</v>
      </c>
      <c r="C5" s="23" t="s">
        <v>824</v>
      </c>
      <c r="D5" s="337" t="s">
        <v>1183</v>
      </c>
      <c r="E5" s="23" t="s">
        <v>825</v>
      </c>
      <c r="F5" s="23" t="s">
        <v>226</v>
      </c>
    </row>
    <row r="6" spans="1:10">
      <c r="A6" s="23" t="s">
        <v>15</v>
      </c>
      <c r="B6" s="23" t="s">
        <v>16</v>
      </c>
      <c r="C6" s="23">
        <v>1</v>
      </c>
      <c r="D6" s="337">
        <v>2</v>
      </c>
      <c r="E6" s="23">
        <v>3</v>
      </c>
      <c r="F6" s="23" t="s">
        <v>1184</v>
      </c>
    </row>
    <row r="7" spans="1:10" s="101" customFormat="1" ht="22.15" customHeight="1">
      <c r="A7" s="55" t="s">
        <v>15</v>
      </c>
      <c r="B7" s="56" t="s">
        <v>1494</v>
      </c>
      <c r="C7" s="136">
        <f>'46-CK NSNN'!C10+'46-CK NSNN'!C14</f>
        <v>9372352</v>
      </c>
      <c r="D7" s="136">
        <v>10757927</v>
      </c>
      <c r="E7" s="562">
        <f>10491910+266017+43596</f>
        <v>10801523</v>
      </c>
      <c r="F7" s="136">
        <f>E7-C7</f>
        <v>1429171</v>
      </c>
    </row>
    <row r="8" spans="1:10" s="101" customFormat="1" ht="25.15" customHeight="1">
      <c r="A8" s="57" t="s">
        <v>16</v>
      </c>
      <c r="B8" s="58" t="s">
        <v>1495</v>
      </c>
      <c r="C8" s="137" t="e">
        <f>'49-CK NSNN'!#REF!</f>
        <v>#REF!</v>
      </c>
      <c r="D8" s="137">
        <v>10847927</v>
      </c>
      <c r="E8" s="349">
        <v>10891523</v>
      </c>
      <c r="F8" s="137" t="e">
        <f>E8-C8</f>
        <v>#REF!</v>
      </c>
    </row>
    <row r="9" spans="1:10" s="101" customFormat="1" ht="30.6" customHeight="1">
      <c r="A9" s="57" t="s">
        <v>79</v>
      </c>
      <c r="B9" s="58" t="s">
        <v>1356</v>
      </c>
      <c r="C9" s="137" t="e">
        <f>C7-C8</f>
        <v>#REF!</v>
      </c>
      <c r="D9" s="137">
        <f>D7-D8</f>
        <v>-90000</v>
      </c>
      <c r="E9" s="137">
        <f>E7-E8</f>
        <v>-90000</v>
      </c>
      <c r="F9" s="137" t="e">
        <f>E9-C9</f>
        <v>#REF!</v>
      </c>
    </row>
    <row r="10" spans="1:10" s="101" customFormat="1" ht="28.5">
      <c r="A10" s="57" t="s">
        <v>89</v>
      </c>
      <c r="B10" s="58" t="s">
        <v>434</v>
      </c>
      <c r="C10" s="137" t="e">
        <f>'46-CK NSNN'!#REF!*0.3</f>
        <v>#REF!</v>
      </c>
      <c r="D10" s="137">
        <f>(D7-266017)*0.3</f>
        <v>3147573</v>
      </c>
      <c r="E10" s="137" t="e">
        <f>'46-CK NSNN'!#REF!*0.3</f>
        <v>#REF!</v>
      </c>
      <c r="F10" s="137" t="e">
        <f t="shared" ref="F10:F63" si="0">E10-C10</f>
        <v>#REF!</v>
      </c>
    </row>
    <row r="11" spans="1:10" s="101" customFormat="1">
      <c r="A11" s="57" t="s">
        <v>99</v>
      </c>
      <c r="B11" s="58" t="s">
        <v>435</v>
      </c>
      <c r="C11" s="137"/>
      <c r="D11" s="137"/>
      <c r="E11" s="137"/>
      <c r="F11" s="137"/>
    </row>
    <row r="12" spans="1:10" s="101" customFormat="1">
      <c r="A12" s="57" t="s">
        <v>83</v>
      </c>
      <c r="B12" s="58" t="s">
        <v>436</v>
      </c>
      <c r="C12" s="137">
        <f>+C14+C15+C18</f>
        <v>729817</v>
      </c>
      <c r="D12" s="137">
        <v>586400</v>
      </c>
      <c r="E12" s="137">
        <f>C53</f>
        <v>568503</v>
      </c>
      <c r="F12" s="137">
        <f t="shared" si="0"/>
        <v>-161314</v>
      </c>
      <c r="I12" s="101">
        <v>586400</v>
      </c>
      <c r="J12" s="101">
        <f>+I12+90000</f>
        <v>676400</v>
      </c>
    </row>
    <row r="13" spans="1:10" ht="30">
      <c r="A13" s="59"/>
      <c r="B13" s="64" t="s">
        <v>437</v>
      </c>
      <c r="C13" s="141" t="e">
        <f>C12/C10</f>
        <v>#REF!</v>
      </c>
      <c r="D13" s="141">
        <f>D12/D10</f>
        <v>0.1863022716232475</v>
      </c>
      <c r="E13" s="141" t="e">
        <f>E12/E10</f>
        <v>#REF!</v>
      </c>
      <c r="F13" s="141"/>
      <c r="H13" t="s">
        <v>1180</v>
      </c>
      <c r="I13" s="193">
        <f>+D39</f>
        <v>524100</v>
      </c>
    </row>
    <row r="14" spans="1:10">
      <c r="A14" s="59">
        <v>1</v>
      </c>
      <c r="B14" s="60" t="s">
        <v>438</v>
      </c>
      <c r="C14" s="108"/>
      <c r="D14" s="108"/>
      <c r="E14" s="108">
        <f t="shared" ref="E14:E19" si="1">C55</f>
        <v>0</v>
      </c>
      <c r="F14" s="108">
        <f t="shared" si="0"/>
        <v>0</v>
      </c>
      <c r="H14" t="s">
        <v>1181</v>
      </c>
      <c r="I14" s="193">
        <f>+D23</f>
        <v>434100</v>
      </c>
    </row>
    <row r="15" spans="1:10">
      <c r="A15" s="59">
        <v>2</v>
      </c>
      <c r="B15" s="60" t="s">
        <v>439</v>
      </c>
      <c r="C15" s="108">
        <f>SUM(C16:C17)</f>
        <v>0</v>
      </c>
      <c r="D15" s="108"/>
      <c r="E15" s="108">
        <f t="shared" si="1"/>
        <v>823</v>
      </c>
      <c r="F15" s="108">
        <f t="shared" si="0"/>
        <v>823</v>
      </c>
      <c r="I15" s="193">
        <f>+I12+I13-I14</f>
        <v>676400</v>
      </c>
    </row>
    <row r="16" spans="1:10" s="187" customFormat="1" ht="30">
      <c r="A16" s="184"/>
      <c r="B16" s="185" t="s">
        <v>966</v>
      </c>
      <c r="C16" s="186"/>
      <c r="D16" s="186"/>
      <c r="E16" s="186">
        <f t="shared" si="1"/>
        <v>823</v>
      </c>
      <c r="F16" s="186">
        <f t="shared" si="0"/>
        <v>823</v>
      </c>
    </row>
    <row r="17" spans="1:11" s="187" customFormat="1" ht="30">
      <c r="A17" s="184"/>
      <c r="B17" s="185" t="s">
        <v>967</v>
      </c>
      <c r="C17" s="186"/>
      <c r="D17" s="186">
        <f>C58</f>
        <v>0</v>
      </c>
      <c r="E17" s="186">
        <f t="shared" si="1"/>
        <v>0</v>
      </c>
      <c r="F17" s="186">
        <f t="shared" si="0"/>
        <v>0</v>
      </c>
      <c r="I17" s="187">
        <f>586400-823</f>
        <v>585577</v>
      </c>
    </row>
    <row r="18" spans="1:11" s="345" customFormat="1">
      <c r="A18" s="83">
        <v>3</v>
      </c>
      <c r="B18" s="60" t="s">
        <v>440</v>
      </c>
      <c r="C18" s="108">
        <f>C19+C20</f>
        <v>729817</v>
      </c>
      <c r="D18" s="108"/>
      <c r="E18" s="108">
        <f t="shared" si="1"/>
        <v>567680</v>
      </c>
      <c r="F18" s="108">
        <f t="shared" si="0"/>
        <v>-162137</v>
      </c>
      <c r="I18" s="345">
        <f>+I17-300000</f>
        <v>285577</v>
      </c>
    </row>
    <row r="19" spans="1:11" s="187" customFormat="1">
      <c r="A19" s="184" t="s">
        <v>811</v>
      </c>
      <c r="B19" s="185" t="s">
        <v>962</v>
      </c>
      <c r="C19" s="186">
        <v>320000</v>
      </c>
      <c r="D19" s="186"/>
      <c r="E19" s="186">
        <f t="shared" si="1"/>
        <v>300000</v>
      </c>
      <c r="F19" s="186">
        <f t="shared" si="0"/>
        <v>-20000</v>
      </c>
    </row>
    <row r="20" spans="1:11" s="187" customFormat="1">
      <c r="A20" s="184" t="s">
        <v>812</v>
      </c>
      <c r="B20" s="185" t="s">
        <v>963</v>
      </c>
      <c r="C20" s="186">
        <f>+C21+C22</f>
        <v>409817</v>
      </c>
      <c r="D20" s="186"/>
      <c r="E20" s="186">
        <f>+E21+E22</f>
        <v>267680</v>
      </c>
      <c r="F20" s="186">
        <f t="shared" si="0"/>
        <v>-142137</v>
      </c>
    </row>
    <row r="21" spans="1:11" s="187" customFormat="1">
      <c r="A21" s="184"/>
      <c r="B21" s="185" t="s">
        <v>964</v>
      </c>
      <c r="C21" s="186">
        <v>117024</v>
      </c>
      <c r="D21" s="186"/>
      <c r="E21" s="186">
        <f>C62</f>
        <v>77921</v>
      </c>
      <c r="F21" s="186">
        <f t="shared" si="0"/>
        <v>-39103</v>
      </c>
    </row>
    <row r="22" spans="1:11" s="187" customFormat="1" ht="30">
      <c r="A22" s="184"/>
      <c r="B22" s="185" t="s">
        <v>965</v>
      </c>
      <c r="C22" s="186">
        <v>292793</v>
      </c>
      <c r="D22" s="186"/>
      <c r="E22" s="186">
        <f>C63</f>
        <v>189759</v>
      </c>
      <c r="F22" s="186">
        <f t="shared" si="0"/>
        <v>-103034</v>
      </c>
    </row>
    <row r="23" spans="1:11" s="101" customFormat="1">
      <c r="A23" s="57" t="s">
        <v>70</v>
      </c>
      <c r="B23" s="58" t="s">
        <v>441</v>
      </c>
      <c r="C23" s="137">
        <f>+C24</f>
        <v>162137</v>
      </c>
      <c r="D23" s="137">
        <f>+D24</f>
        <v>434100</v>
      </c>
      <c r="E23" s="137">
        <f>+E24</f>
        <v>434100</v>
      </c>
      <c r="F23" s="137">
        <f t="shared" si="0"/>
        <v>271963</v>
      </c>
    </row>
    <row r="24" spans="1:11">
      <c r="A24" s="57">
        <v>1</v>
      </c>
      <c r="B24" s="58" t="s">
        <v>442</v>
      </c>
      <c r="C24" s="137">
        <f>+C25+C26+C29</f>
        <v>162137</v>
      </c>
      <c r="D24" s="137">
        <f>+D25+D26+D29</f>
        <v>434100</v>
      </c>
      <c r="E24" s="137">
        <f>+E25+E26+E29</f>
        <v>434100</v>
      </c>
      <c r="F24" s="137">
        <f t="shared" si="0"/>
        <v>271963</v>
      </c>
    </row>
    <row r="25" spans="1:11">
      <c r="A25" s="59" t="s">
        <v>22</v>
      </c>
      <c r="B25" s="60" t="s">
        <v>438</v>
      </c>
      <c r="C25" s="108"/>
      <c r="D25" s="108"/>
      <c r="E25" s="108"/>
      <c r="F25" s="108">
        <f t="shared" si="0"/>
        <v>0</v>
      </c>
    </row>
    <row r="26" spans="1:11">
      <c r="A26" s="59" t="s">
        <v>22</v>
      </c>
      <c r="B26" s="60" t="s">
        <v>456</v>
      </c>
      <c r="C26" s="108">
        <f>SUM(C27:C28)</f>
        <v>0</v>
      </c>
      <c r="D26" s="108"/>
      <c r="E26" s="108">
        <f>SUM(E27:E28)</f>
        <v>0</v>
      </c>
      <c r="F26" s="108">
        <f t="shared" si="0"/>
        <v>0</v>
      </c>
    </row>
    <row r="27" spans="1:11" s="187" customFormat="1" ht="30">
      <c r="A27" s="184"/>
      <c r="B27" s="185" t="s">
        <v>968</v>
      </c>
      <c r="C27" s="186"/>
      <c r="D27" s="186"/>
      <c r="E27" s="186">
        <v>0</v>
      </c>
      <c r="F27" s="186">
        <f t="shared" si="0"/>
        <v>0</v>
      </c>
    </row>
    <row r="28" spans="1:11" s="187" customFormat="1" ht="30">
      <c r="A28" s="184"/>
      <c r="B28" s="185" t="s">
        <v>969</v>
      </c>
      <c r="C28" s="186"/>
      <c r="D28" s="186"/>
      <c r="E28" s="186">
        <v>0</v>
      </c>
      <c r="F28" s="186">
        <f t="shared" si="0"/>
        <v>0</v>
      </c>
    </row>
    <row r="29" spans="1:11">
      <c r="A29" s="59" t="s">
        <v>22</v>
      </c>
      <c r="B29" s="60" t="s">
        <v>451</v>
      </c>
      <c r="C29" s="108">
        <f>C30+C31</f>
        <v>162137</v>
      </c>
      <c r="D29" s="108">
        <v>434100</v>
      </c>
      <c r="E29" s="108">
        <f>E30+E31</f>
        <v>434100</v>
      </c>
      <c r="F29" s="108">
        <f t="shared" si="0"/>
        <v>271963</v>
      </c>
    </row>
    <row r="30" spans="1:11" s="187" customFormat="1">
      <c r="A30" s="184"/>
      <c r="B30" s="185" t="s">
        <v>970</v>
      </c>
      <c r="C30" s="186">
        <v>20000</v>
      </c>
      <c r="D30" s="186"/>
      <c r="E30" s="186">
        <v>300000</v>
      </c>
      <c r="F30" s="186">
        <f t="shared" si="0"/>
        <v>280000</v>
      </c>
    </row>
    <row r="31" spans="1:11" s="187" customFormat="1">
      <c r="A31" s="184"/>
      <c r="B31" s="185" t="s">
        <v>971</v>
      </c>
      <c r="C31" s="186">
        <f>C32+C33</f>
        <v>142137</v>
      </c>
      <c r="D31" s="186"/>
      <c r="E31" s="186">
        <f>E32+E33</f>
        <v>134100</v>
      </c>
      <c r="F31" s="186">
        <f t="shared" si="0"/>
        <v>-8037</v>
      </c>
      <c r="I31" s="187" t="s">
        <v>1182</v>
      </c>
    </row>
    <row r="32" spans="1:11" s="187" customFormat="1">
      <c r="A32" s="184"/>
      <c r="B32" s="188" t="s">
        <v>964</v>
      </c>
      <c r="C32" s="186">
        <v>39103</v>
      </c>
      <c r="D32" s="186"/>
      <c r="E32" s="186">
        <v>43596</v>
      </c>
      <c r="F32" s="186">
        <f t="shared" si="0"/>
        <v>4493</v>
      </c>
      <c r="I32" s="186">
        <v>36739.139000000003</v>
      </c>
      <c r="K32" s="346">
        <f>+C32-I32</f>
        <v>2363.8609999999971</v>
      </c>
    </row>
    <row r="33" spans="1:6" s="187" customFormat="1" ht="30">
      <c r="A33" s="184"/>
      <c r="B33" s="188" t="s">
        <v>965</v>
      </c>
      <c r="C33" s="186">
        <v>103034</v>
      </c>
      <c r="D33" s="186"/>
      <c r="E33" s="186">
        <v>90504</v>
      </c>
      <c r="F33" s="186">
        <f t="shared" si="0"/>
        <v>-12530</v>
      </c>
    </row>
    <row r="34" spans="1:6">
      <c r="A34" s="57">
        <v>2</v>
      </c>
      <c r="B34" s="58" t="s">
        <v>443</v>
      </c>
      <c r="C34" s="137">
        <f>+C35+C36+C37+C38</f>
        <v>162137</v>
      </c>
      <c r="D34" s="137">
        <f>+D35+D36+D37+D38</f>
        <v>434100</v>
      </c>
      <c r="E34" s="137">
        <f>+E35+E36+E37+E38</f>
        <v>434100</v>
      </c>
      <c r="F34" s="137">
        <f t="shared" si="0"/>
        <v>271963</v>
      </c>
    </row>
    <row r="35" spans="1:6">
      <c r="A35" s="59" t="s">
        <v>22</v>
      </c>
      <c r="B35" s="60" t="s">
        <v>444</v>
      </c>
      <c r="C35" s="108"/>
      <c r="D35" s="108">
        <v>434100</v>
      </c>
      <c r="E35" s="108">
        <f>390504+43596-E38-E37-E36</f>
        <v>0</v>
      </c>
      <c r="F35" s="108">
        <f t="shared" si="0"/>
        <v>0</v>
      </c>
    </row>
    <row r="36" spans="1:6">
      <c r="A36" s="59" t="s">
        <v>22</v>
      </c>
      <c r="B36" s="60" t="s">
        <v>445</v>
      </c>
      <c r="C36" s="108">
        <v>123034</v>
      </c>
      <c r="D36" s="108"/>
      <c r="E36" s="108">
        <v>390504</v>
      </c>
      <c r="F36" s="108">
        <f t="shared" si="0"/>
        <v>267470</v>
      </c>
    </row>
    <row r="37" spans="1:6">
      <c r="A37" s="59" t="s">
        <v>22</v>
      </c>
      <c r="B37" s="60" t="s">
        <v>446</v>
      </c>
      <c r="C37" s="108"/>
      <c r="D37" s="108"/>
      <c r="E37" s="108"/>
      <c r="F37" s="108">
        <f t="shared" si="0"/>
        <v>0</v>
      </c>
    </row>
    <row r="38" spans="1:6">
      <c r="A38" s="59" t="s">
        <v>22</v>
      </c>
      <c r="B38" s="60" t="s">
        <v>447</v>
      </c>
      <c r="C38" s="108">
        <v>39103</v>
      </c>
      <c r="D38" s="108"/>
      <c r="E38" s="108">
        <v>43596</v>
      </c>
      <c r="F38" s="108">
        <f t="shared" si="0"/>
        <v>4493</v>
      </c>
    </row>
    <row r="39" spans="1:6" s="101" customFormat="1">
      <c r="A39" s="57" t="s">
        <v>73</v>
      </c>
      <c r="B39" s="58" t="s">
        <v>448</v>
      </c>
      <c r="C39" s="137">
        <f>+C40</f>
        <v>823</v>
      </c>
      <c r="D39" s="137">
        <f>+D40</f>
        <v>524100</v>
      </c>
      <c r="E39" s="137">
        <f>+E40</f>
        <v>524100</v>
      </c>
      <c r="F39" s="137">
        <f t="shared" si="0"/>
        <v>523277</v>
      </c>
    </row>
    <row r="40" spans="1:6" s="101" customFormat="1">
      <c r="A40" s="57">
        <v>1</v>
      </c>
      <c r="B40" s="58" t="s">
        <v>449</v>
      </c>
      <c r="C40" s="137">
        <f>+C41+C42</f>
        <v>823</v>
      </c>
      <c r="D40" s="137">
        <f>+D41+D42</f>
        <v>524100</v>
      </c>
      <c r="E40" s="137">
        <f>+E41+E42</f>
        <v>524100</v>
      </c>
      <c r="F40" s="137">
        <f t="shared" si="0"/>
        <v>523277</v>
      </c>
    </row>
    <row r="41" spans="1:6" s="39" customFormat="1">
      <c r="A41" s="83" t="s">
        <v>22</v>
      </c>
      <c r="B41" s="60" t="s">
        <v>111</v>
      </c>
      <c r="C41" s="108"/>
      <c r="D41" s="108">
        <v>90000</v>
      </c>
      <c r="E41" s="108">
        <v>90000</v>
      </c>
      <c r="F41" s="108">
        <f t="shared" si="0"/>
        <v>90000</v>
      </c>
    </row>
    <row r="42" spans="1:6" s="39" customFormat="1">
      <c r="A42" s="83" t="s">
        <v>22</v>
      </c>
      <c r="B42" s="60" t="s">
        <v>112</v>
      </c>
      <c r="C42" s="108">
        <v>823</v>
      </c>
      <c r="D42" s="108">
        <f>D35</f>
        <v>434100</v>
      </c>
      <c r="E42" s="108">
        <f>E34</f>
        <v>434100</v>
      </c>
      <c r="F42" s="108">
        <f t="shared" si="0"/>
        <v>433277</v>
      </c>
    </row>
    <row r="43" spans="1:6" s="101" customFormat="1">
      <c r="A43" s="57">
        <v>2</v>
      </c>
      <c r="B43" s="58" t="s">
        <v>450</v>
      </c>
      <c r="C43" s="137">
        <f>+C44+C45+C48</f>
        <v>823</v>
      </c>
      <c r="D43" s="137">
        <f>+D44+D45+D48</f>
        <v>524100</v>
      </c>
      <c r="E43" s="137">
        <f>+E44+E45+E48</f>
        <v>524100</v>
      </c>
      <c r="F43" s="137">
        <f t="shared" si="0"/>
        <v>523277</v>
      </c>
    </row>
    <row r="44" spans="1:6">
      <c r="A44" s="59" t="s">
        <v>22</v>
      </c>
      <c r="B44" s="60" t="s">
        <v>438</v>
      </c>
      <c r="C44" s="108"/>
      <c r="D44" s="108"/>
      <c r="E44" s="108">
        <v>88300</v>
      </c>
      <c r="F44" s="108">
        <f t="shared" si="0"/>
        <v>88300</v>
      </c>
    </row>
    <row r="45" spans="1:6">
      <c r="A45" s="59" t="s">
        <v>22</v>
      </c>
      <c r="B45" s="60" t="s">
        <v>439</v>
      </c>
      <c r="C45" s="108">
        <f>C46+C47</f>
        <v>823</v>
      </c>
      <c r="D45" s="108">
        <f>D46+D47</f>
        <v>35800</v>
      </c>
      <c r="E45" s="108">
        <f>E46+E47</f>
        <v>35800</v>
      </c>
      <c r="F45" s="108">
        <f t="shared" si="0"/>
        <v>34977</v>
      </c>
    </row>
    <row r="46" spans="1:6" s="187" customFormat="1" ht="30">
      <c r="A46" s="184"/>
      <c r="B46" s="185" t="s">
        <v>968</v>
      </c>
      <c r="C46" s="186">
        <v>823</v>
      </c>
      <c r="D46" s="186">
        <v>2900</v>
      </c>
      <c r="E46" s="186">
        <v>2900</v>
      </c>
      <c r="F46" s="186">
        <f>E46-C46</f>
        <v>2077</v>
      </c>
    </row>
    <row r="47" spans="1:6" s="187" customFormat="1" ht="30">
      <c r="A47" s="184"/>
      <c r="B47" s="185" t="s">
        <v>969</v>
      </c>
      <c r="C47" s="186"/>
      <c r="D47" s="186">
        <f>35800-D46</f>
        <v>32900</v>
      </c>
      <c r="E47" s="186">
        <f>D47</f>
        <v>32900</v>
      </c>
      <c r="F47" s="186">
        <f t="shared" si="0"/>
        <v>32900</v>
      </c>
    </row>
    <row r="48" spans="1:6">
      <c r="A48" s="59" t="s">
        <v>22</v>
      </c>
      <c r="B48" s="60" t="s">
        <v>451</v>
      </c>
      <c r="C48" s="108">
        <f>C49+C50</f>
        <v>0</v>
      </c>
      <c r="D48" s="108">
        <v>488300</v>
      </c>
      <c r="E48" s="108">
        <f>E49+E50</f>
        <v>400000</v>
      </c>
      <c r="F48" s="108">
        <f t="shared" si="0"/>
        <v>400000</v>
      </c>
    </row>
    <row r="49" spans="1:15" s="187" customFormat="1">
      <c r="A49" s="184"/>
      <c r="B49" s="185" t="s">
        <v>970</v>
      </c>
      <c r="C49" s="186"/>
      <c r="D49" s="186"/>
      <c r="E49" s="186">
        <v>400000</v>
      </c>
      <c r="F49" s="186">
        <f t="shared" si="0"/>
        <v>400000</v>
      </c>
    </row>
    <row r="50" spans="1:15" s="187" customFormat="1">
      <c r="A50" s="184"/>
      <c r="B50" s="185" t="s">
        <v>971</v>
      </c>
      <c r="C50" s="186">
        <f>C51+C52</f>
        <v>0</v>
      </c>
      <c r="D50" s="186"/>
      <c r="E50" s="186">
        <f>E51+E52</f>
        <v>0</v>
      </c>
      <c r="F50" s="186">
        <f t="shared" si="0"/>
        <v>0</v>
      </c>
    </row>
    <row r="51" spans="1:15" s="187" customFormat="1">
      <c r="A51" s="184"/>
      <c r="B51" s="188" t="s">
        <v>964</v>
      </c>
      <c r="C51" s="186"/>
      <c r="D51" s="186"/>
      <c r="E51" s="186"/>
      <c r="F51" s="186">
        <f t="shared" si="0"/>
        <v>0</v>
      </c>
    </row>
    <row r="52" spans="1:15" s="187" customFormat="1" ht="30">
      <c r="A52" s="184"/>
      <c r="B52" s="188" t="s">
        <v>965</v>
      </c>
      <c r="C52" s="186"/>
      <c r="D52" s="186"/>
      <c r="E52" s="186"/>
      <c r="F52" s="186">
        <f t="shared" si="0"/>
        <v>0</v>
      </c>
    </row>
    <row r="53" spans="1:15">
      <c r="A53" s="57" t="s">
        <v>77</v>
      </c>
      <c r="B53" s="58" t="s">
        <v>452</v>
      </c>
      <c r="C53" s="137">
        <f>+C12-C23+C39</f>
        <v>568503</v>
      </c>
      <c r="D53" s="137">
        <f>+D12-D23+D39</f>
        <v>676400</v>
      </c>
      <c r="E53" s="137">
        <f>+E12-E23+E39</f>
        <v>658503</v>
      </c>
      <c r="F53" s="137">
        <f>E53-C53</f>
        <v>90000</v>
      </c>
      <c r="H53" s="193"/>
    </row>
    <row r="54" spans="1:15" ht="30">
      <c r="A54" s="59"/>
      <c r="B54" s="64" t="s">
        <v>453</v>
      </c>
      <c r="C54" s="141" t="e">
        <f>+C53/C10</f>
        <v>#REF!</v>
      </c>
      <c r="D54" s="141">
        <f>+D53/D10</f>
        <v>0.21489573077415519</v>
      </c>
      <c r="E54" s="141" t="e">
        <f>+E53/E10</f>
        <v>#REF!</v>
      </c>
      <c r="F54" s="141" t="e">
        <f t="shared" si="0"/>
        <v>#REF!</v>
      </c>
    </row>
    <row r="55" spans="1:15">
      <c r="A55" s="59">
        <v>1</v>
      </c>
      <c r="B55" s="60" t="s">
        <v>438</v>
      </c>
      <c r="C55" s="108">
        <f>+C14-C25+C44</f>
        <v>0</v>
      </c>
      <c r="D55" s="108"/>
      <c r="E55" s="108">
        <f>+E14-E25+E44</f>
        <v>88300</v>
      </c>
      <c r="F55" s="108">
        <f t="shared" si="0"/>
        <v>88300</v>
      </c>
    </row>
    <row r="56" spans="1:15">
      <c r="A56" s="59">
        <v>2</v>
      </c>
      <c r="B56" s="60" t="s">
        <v>439</v>
      </c>
      <c r="C56" s="108">
        <f>C57+C58</f>
        <v>823</v>
      </c>
      <c r="D56" s="108"/>
      <c r="E56" s="108">
        <f>E57+E58</f>
        <v>36623</v>
      </c>
      <c r="F56" s="108">
        <f t="shared" si="0"/>
        <v>35800</v>
      </c>
      <c r="L56" s="187" t="s">
        <v>1501</v>
      </c>
    </row>
    <row r="57" spans="1:15" s="187" customFormat="1" ht="30">
      <c r="A57" s="184"/>
      <c r="B57" s="185" t="s">
        <v>966</v>
      </c>
      <c r="C57" s="186">
        <f>+C16-C27+C46</f>
        <v>823</v>
      </c>
      <c r="D57" s="186"/>
      <c r="E57" s="186">
        <f>+E16-E27+E46</f>
        <v>3723</v>
      </c>
      <c r="F57" s="186">
        <f t="shared" si="0"/>
        <v>2900</v>
      </c>
      <c r="L57" s="187" t="s">
        <v>1496</v>
      </c>
      <c r="M57" s="187" t="s">
        <v>1497</v>
      </c>
      <c r="O57" s="187" t="s">
        <v>1498</v>
      </c>
    </row>
    <row r="58" spans="1:15" s="187" customFormat="1" ht="30">
      <c r="A58" s="184"/>
      <c r="B58" s="185" t="s">
        <v>967</v>
      </c>
      <c r="C58" s="186">
        <f>+C17-C28+C47</f>
        <v>0</v>
      </c>
      <c r="D58" s="186"/>
      <c r="E58" s="186">
        <f>+E17-E28+E47</f>
        <v>32900</v>
      </c>
      <c r="F58" s="186">
        <f t="shared" si="0"/>
        <v>32900</v>
      </c>
      <c r="L58" s="187">
        <v>100</v>
      </c>
      <c r="M58" s="187">
        <v>9</v>
      </c>
      <c r="N58" s="563">
        <v>2.0999999999999999E-3</v>
      </c>
      <c r="O58" s="187">
        <f>L58*N58*M58</f>
        <v>1.89</v>
      </c>
    </row>
    <row r="59" spans="1:15">
      <c r="A59" s="59">
        <v>3</v>
      </c>
      <c r="B59" s="60" t="s">
        <v>454</v>
      </c>
      <c r="C59" s="108">
        <f>C60+C61</f>
        <v>567680</v>
      </c>
      <c r="D59" s="108"/>
      <c r="E59" s="108">
        <f>E60+E61</f>
        <v>533580</v>
      </c>
      <c r="F59" s="108">
        <f t="shared" si="0"/>
        <v>-34100</v>
      </c>
      <c r="L59">
        <v>100</v>
      </c>
      <c r="M59">
        <v>11</v>
      </c>
      <c r="N59" s="563">
        <v>2.0999999999999999E-3</v>
      </c>
      <c r="O59" s="187">
        <f>L59*N59*M59</f>
        <v>2.31</v>
      </c>
    </row>
    <row r="60" spans="1:15" s="187" customFormat="1">
      <c r="A60" s="184" t="s">
        <v>811</v>
      </c>
      <c r="B60" s="185" t="s">
        <v>962</v>
      </c>
      <c r="C60" s="186">
        <f>+C19-C30+C49</f>
        <v>300000</v>
      </c>
      <c r="D60" s="186"/>
      <c r="E60" s="186">
        <f>+E19-E30+E49</f>
        <v>400000</v>
      </c>
      <c r="F60" s="186">
        <f t="shared" si="0"/>
        <v>100000</v>
      </c>
      <c r="L60" s="187">
        <v>100</v>
      </c>
      <c r="M60" s="187">
        <v>12</v>
      </c>
      <c r="N60" s="563">
        <v>2.0999999999999999E-3</v>
      </c>
      <c r="O60" s="187">
        <f>L60*N60*M60</f>
        <v>2.52</v>
      </c>
    </row>
    <row r="61" spans="1:15" s="187" customFormat="1">
      <c r="A61" s="184" t="s">
        <v>812</v>
      </c>
      <c r="B61" s="185" t="s">
        <v>963</v>
      </c>
      <c r="C61" s="186">
        <f>C62+C63</f>
        <v>267680</v>
      </c>
      <c r="D61" s="186"/>
      <c r="E61" s="186">
        <f>E62+E63</f>
        <v>133580</v>
      </c>
      <c r="F61" s="186">
        <f t="shared" si="0"/>
        <v>-134100</v>
      </c>
      <c r="L61" s="187">
        <v>400</v>
      </c>
      <c r="M61" s="187">
        <v>11</v>
      </c>
      <c r="N61" s="563">
        <v>2.0999999999999999E-3</v>
      </c>
      <c r="O61" s="565">
        <f>L61*N61*M61</f>
        <v>9.24</v>
      </c>
    </row>
    <row r="62" spans="1:15" s="187" customFormat="1">
      <c r="A62" s="184"/>
      <c r="B62" s="185" t="s">
        <v>964</v>
      </c>
      <c r="C62" s="186">
        <f>+C21-C32+C51</f>
        <v>77921</v>
      </c>
      <c r="D62" s="186"/>
      <c r="E62" s="186">
        <f>+E21-E32+E51</f>
        <v>34325</v>
      </c>
      <c r="F62" s="186">
        <f t="shared" si="0"/>
        <v>-43596</v>
      </c>
      <c r="O62" s="566">
        <f>SUM(O58:O61)</f>
        <v>15.96</v>
      </c>
    </row>
    <row r="63" spans="1:15" s="187" customFormat="1" ht="30">
      <c r="A63" s="184"/>
      <c r="B63" s="185" t="s">
        <v>965</v>
      </c>
      <c r="C63" s="186">
        <f>+C22-C33+C52</f>
        <v>189759</v>
      </c>
      <c r="D63" s="186"/>
      <c r="E63" s="186">
        <f>+E22-E33+E52</f>
        <v>99255</v>
      </c>
      <c r="F63" s="186">
        <f t="shared" si="0"/>
        <v>-90504</v>
      </c>
      <c r="L63" s="187" t="s">
        <v>1499</v>
      </c>
    </row>
    <row r="64" spans="1:15">
      <c r="A64" s="61" t="s">
        <v>101</v>
      </c>
      <c r="B64" s="62" t="s">
        <v>455</v>
      </c>
      <c r="C64" s="138">
        <v>5783</v>
      </c>
      <c r="D64" s="138"/>
      <c r="E64" s="138">
        <v>22624</v>
      </c>
      <c r="F64" s="138">
        <f>E64-C64</f>
        <v>16841</v>
      </c>
      <c r="L64" s="187">
        <v>88.3</v>
      </c>
      <c r="M64" s="187">
        <v>10</v>
      </c>
      <c r="N64" s="564">
        <f>8%/12</f>
        <v>6.6666666666666671E-3</v>
      </c>
      <c r="O64" s="567">
        <f>L64*N64*M64</f>
        <v>5.8866666666666667</v>
      </c>
    </row>
    <row r="65" spans="1:15">
      <c r="A65" s="339"/>
      <c r="B65" s="340"/>
      <c r="C65" s="341"/>
      <c r="D65" s="341"/>
      <c r="E65" s="341"/>
      <c r="F65" s="341"/>
    </row>
    <row r="66" spans="1:15">
      <c r="A66" s="342"/>
      <c r="B66" s="343" t="s">
        <v>1047</v>
      </c>
      <c r="C66" s="344">
        <f>+C64+C34</f>
        <v>167920</v>
      </c>
      <c r="D66" s="344"/>
      <c r="E66" s="344">
        <f>+E64+E34</f>
        <v>456724</v>
      </c>
      <c r="F66" s="342"/>
    </row>
    <row r="67" spans="1:15">
      <c r="L67" t="s">
        <v>1500</v>
      </c>
      <c r="O67">
        <v>0.5</v>
      </c>
    </row>
    <row r="68" spans="1:15">
      <c r="B68" s="1" t="str">
        <f ca="1">CELL("filename")</f>
        <v>C:\Users\nguyenthithuhien\AppData\Local\Microsoft\Windows\INetCache\Content.Outlook\2M37ZAJY\[Ke hoach hop tac nam 2019 - Final.xlsx]KH 2019</v>
      </c>
    </row>
    <row r="69" spans="1:15">
      <c r="L69" t="s">
        <v>1064</v>
      </c>
      <c r="O69" s="203">
        <f>O67+O64+O62</f>
        <v>22.346666666666668</v>
      </c>
    </row>
  </sheetData>
  <customSheetViews>
    <customSheetView guid="{9F606621-8853-4836-9A7E-DBA5CF152671}" showPageBreaks="1" printArea="1" topLeftCell="A52">
      <selection activeCell="C64" sqref="C64"/>
      <pageMargins left="0.70866141732283472" right="0.70866141732283472" top="0.74803149606299213" bottom="0.74803149606299213" header="0.31496062992125984" footer="0.31496062992125984"/>
      <pageSetup paperSize="9" orientation="portrait" r:id="rId1"/>
    </customSheetView>
    <customSheetView guid="{DB9039ED-C6EA-422D-9A5D-D152D95EDC67}" scale="85" showPageBreaks="1" printArea="1" hiddenRows="1">
      <pane xSplit="2" ySplit="6" topLeftCell="C47" activePane="bottomRight" state="frozen"/>
      <selection pane="bottomRight" activeCell="F63" sqref="F63"/>
      <pageMargins left="0.70866141732283472" right="0.70866141732283472" top="0.74803149606299213" bottom="0.74803149606299213" header="0.31496062992125984" footer="0.31496062992125984"/>
      <printOptions horizontalCentered="1"/>
      <pageSetup paperSize="9" scale="85" orientation="portrait" blackAndWhite="1" r:id="rId2"/>
    </customSheetView>
  </customSheetViews>
  <mergeCells count="4">
    <mergeCell ref="A1:F1"/>
    <mergeCell ref="A2:F2"/>
    <mergeCell ref="A3:F3"/>
    <mergeCell ref="E4:F4"/>
  </mergeCells>
  <pageMargins left="0.70866141732283472" right="0.70866141732283472" top="0.74803149606299213" bottom="0.74803149606299213" header="0.31496062992125984" footer="0.31496062992125984"/>
  <pageSetup paperSize="9" orientation="portrait" r:id="rId3"/>
</worksheet>
</file>

<file path=xl/worksheets/sheet2.xml><?xml version="1.0" encoding="utf-8"?>
<worksheet xmlns="http://schemas.openxmlformats.org/spreadsheetml/2006/main" xmlns:r="http://schemas.openxmlformats.org/officeDocument/2006/relationships">
  <sheetPr>
    <tabColor theme="6" tint="-0.249977111117893"/>
  </sheetPr>
  <dimension ref="A1:J68"/>
  <sheetViews>
    <sheetView workbookViewId="0">
      <selection sqref="A1:J1"/>
    </sheetView>
  </sheetViews>
  <sheetFormatPr defaultColWidth="9.140625" defaultRowHeight="15"/>
  <cols>
    <col min="1" max="1" width="5.7109375" style="1" customWidth="1"/>
    <col min="2" max="2" width="45.42578125" style="1" customWidth="1"/>
    <col min="3" max="9" width="9.140625" style="1"/>
    <col min="10" max="10" width="12.140625" style="1" customWidth="1"/>
    <col min="11" max="16384" width="9.140625" style="1"/>
  </cols>
  <sheetData>
    <row r="1" spans="1:10">
      <c r="A1" s="706" t="s">
        <v>53</v>
      </c>
      <c r="B1" s="706"/>
      <c r="C1" s="706"/>
      <c r="D1" s="706"/>
      <c r="E1" s="706"/>
      <c r="F1" s="706"/>
      <c r="G1" s="706"/>
      <c r="H1" s="706"/>
      <c r="I1" s="706"/>
      <c r="J1" s="706"/>
    </row>
    <row r="2" spans="1:10" ht="18.75">
      <c r="A2" s="701" t="s">
        <v>54</v>
      </c>
      <c r="B2" s="701"/>
      <c r="C2" s="701"/>
      <c r="D2" s="701"/>
      <c r="E2" s="701"/>
      <c r="F2" s="701"/>
      <c r="G2" s="701"/>
      <c r="H2" s="701"/>
      <c r="I2" s="701"/>
      <c r="J2" s="701"/>
    </row>
    <row r="3" spans="1:10">
      <c r="A3" s="707" t="s">
        <v>55</v>
      </c>
      <c r="B3" s="707"/>
      <c r="C3" s="707"/>
      <c r="D3" s="707"/>
      <c r="E3" s="707"/>
      <c r="F3" s="707"/>
      <c r="G3" s="707"/>
      <c r="H3" s="707"/>
      <c r="I3" s="707"/>
      <c r="J3" s="707"/>
    </row>
    <row r="4" spans="1:10">
      <c r="I4" s="708" t="s">
        <v>56</v>
      </c>
      <c r="J4" s="708"/>
    </row>
    <row r="5" spans="1:10">
      <c r="A5" s="705" t="s">
        <v>3</v>
      </c>
      <c r="B5" s="705" t="s">
        <v>4</v>
      </c>
      <c r="C5" s="705" t="s">
        <v>57</v>
      </c>
      <c r="D5" s="705" t="s">
        <v>7</v>
      </c>
      <c r="E5" s="705"/>
      <c r="F5" s="705"/>
      <c r="G5" s="705"/>
      <c r="H5" s="705"/>
      <c r="I5" s="705"/>
      <c r="J5" s="705" t="s">
        <v>120</v>
      </c>
    </row>
    <row r="6" spans="1:10" ht="42.75">
      <c r="A6" s="705"/>
      <c r="B6" s="705"/>
      <c r="C6" s="705"/>
      <c r="D6" s="2" t="s">
        <v>9</v>
      </c>
      <c r="E6" s="2" t="s">
        <v>58</v>
      </c>
      <c r="F6" s="2" t="s">
        <v>59</v>
      </c>
      <c r="G6" s="2" t="s">
        <v>60</v>
      </c>
      <c r="H6" s="2" t="s">
        <v>13</v>
      </c>
      <c r="I6" s="2" t="s">
        <v>14</v>
      </c>
      <c r="J6" s="705"/>
    </row>
    <row r="7" spans="1:10">
      <c r="A7" s="2" t="s">
        <v>15</v>
      </c>
      <c r="B7" s="2" t="s">
        <v>16</v>
      </c>
      <c r="C7" s="2">
        <v>1</v>
      </c>
      <c r="D7" s="2">
        <v>2</v>
      </c>
      <c r="E7" s="2">
        <v>3</v>
      </c>
      <c r="F7" s="2">
        <v>4</v>
      </c>
      <c r="G7" s="2">
        <v>5</v>
      </c>
      <c r="H7" s="2">
        <v>6</v>
      </c>
      <c r="I7" s="2">
        <v>7</v>
      </c>
      <c r="J7" s="2">
        <v>8</v>
      </c>
    </row>
    <row r="8" spans="1:10" ht="28.5">
      <c r="A8" s="2" t="s">
        <v>15</v>
      </c>
      <c r="B8" s="15" t="s">
        <v>61</v>
      </c>
      <c r="C8" s="3"/>
      <c r="D8" s="3"/>
      <c r="E8" s="3"/>
      <c r="F8" s="3"/>
      <c r="G8" s="3"/>
      <c r="H8" s="3"/>
      <c r="I8" s="3"/>
      <c r="J8" s="3"/>
    </row>
    <row r="9" spans="1:10">
      <c r="A9" s="2" t="s">
        <v>16</v>
      </c>
      <c r="B9" s="15" t="s">
        <v>62</v>
      </c>
      <c r="C9" s="3"/>
      <c r="D9" s="3"/>
      <c r="E9" s="3"/>
      <c r="F9" s="3"/>
      <c r="G9" s="3"/>
      <c r="H9" s="3"/>
      <c r="I9" s="3"/>
      <c r="J9" s="3"/>
    </row>
    <row r="10" spans="1:10">
      <c r="A10" s="3"/>
      <c r="B10" s="5" t="s">
        <v>121</v>
      </c>
      <c r="C10" s="3"/>
      <c r="D10" s="3"/>
      <c r="E10" s="3"/>
      <c r="F10" s="3"/>
      <c r="G10" s="3"/>
      <c r="H10" s="3"/>
      <c r="I10" s="3"/>
      <c r="J10" s="3"/>
    </row>
    <row r="11" spans="1:10">
      <c r="A11" s="3"/>
      <c r="B11" s="5" t="s">
        <v>63</v>
      </c>
      <c r="C11" s="3"/>
      <c r="D11" s="3"/>
      <c r="E11" s="3"/>
      <c r="F11" s="3"/>
      <c r="G11" s="3"/>
      <c r="H11" s="3"/>
      <c r="I11" s="3"/>
      <c r="J11" s="3"/>
    </row>
    <row r="12" spans="1:10">
      <c r="A12" s="3"/>
      <c r="B12" s="5" t="s">
        <v>64</v>
      </c>
      <c r="C12" s="3"/>
      <c r="D12" s="3"/>
      <c r="E12" s="3"/>
      <c r="F12" s="3"/>
      <c r="G12" s="3"/>
      <c r="H12" s="3"/>
      <c r="I12" s="3"/>
      <c r="J12" s="3"/>
    </row>
    <row r="13" spans="1:10">
      <c r="A13" s="3">
        <v>1</v>
      </c>
      <c r="B13" s="4" t="s">
        <v>65</v>
      </c>
      <c r="C13" s="3"/>
      <c r="D13" s="3"/>
      <c r="E13" s="3"/>
      <c r="F13" s="3"/>
      <c r="G13" s="3"/>
      <c r="H13" s="3"/>
      <c r="I13" s="3"/>
      <c r="J13" s="3"/>
    </row>
    <row r="14" spans="1:10">
      <c r="A14" s="3"/>
      <c r="B14" s="5" t="s">
        <v>66</v>
      </c>
      <c r="C14" s="3"/>
      <c r="D14" s="3"/>
      <c r="E14" s="3"/>
      <c r="F14" s="3"/>
      <c r="G14" s="3"/>
      <c r="H14" s="3"/>
      <c r="I14" s="3"/>
      <c r="J14" s="3"/>
    </row>
    <row r="15" spans="1:10">
      <c r="A15" s="3"/>
      <c r="B15" s="5" t="s">
        <v>67</v>
      </c>
      <c r="C15" s="3"/>
      <c r="D15" s="3"/>
      <c r="E15" s="3"/>
      <c r="F15" s="3"/>
      <c r="G15" s="3"/>
      <c r="H15" s="3"/>
      <c r="I15" s="3"/>
      <c r="J15" s="3"/>
    </row>
    <row r="16" spans="1:10">
      <c r="A16" s="3"/>
      <c r="B16" s="5" t="s">
        <v>68</v>
      </c>
      <c r="C16" s="3"/>
      <c r="D16" s="3"/>
      <c r="E16" s="3"/>
      <c r="F16" s="3"/>
      <c r="G16" s="3"/>
      <c r="H16" s="3"/>
      <c r="I16" s="3"/>
      <c r="J16" s="3"/>
    </row>
    <row r="17" spans="1:10">
      <c r="A17" s="3"/>
      <c r="B17" s="5" t="s">
        <v>69</v>
      </c>
      <c r="C17" s="3"/>
      <c r="D17" s="3"/>
      <c r="E17" s="3"/>
      <c r="F17" s="3"/>
      <c r="G17" s="3"/>
      <c r="H17" s="3"/>
      <c r="I17" s="3"/>
      <c r="J17" s="3"/>
    </row>
    <row r="18" spans="1:10">
      <c r="A18" s="2" t="s">
        <v>70</v>
      </c>
      <c r="B18" s="15" t="s">
        <v>71</v>
      </c>
      <c r="C18" s="3"/>
      <c r="D18" s="3"/>
      <c r="E18" s="3"/>
      <c r="F18" s="3"/>
      <c r="G18" s="3"/>
      <c r="H18" s="3"/>
      <c r="I18" s="3"/>
      <c r="J18" s="3"/>
    </row>
    <row r="19" spans="1:10">
      <c r="A19" s="3"/>
      <c r="B19" s="5" t="s">
        <v>72</v>
      </c>
      <c r="C19" s="3"/>
      <c r="D19" s="3"/>
      <c r="E19" s="3"/>
      <c r="F19" s="3"/>
      <c r="G19" s="3"/>
      <c r="H19" s="3"/>
      <c r="I19" s="3"/>
      <c r="J19" s="3"/>
    </row>
    <row r="20" spans="1:10">
      <c r="A20" s="3"/>
      <c r="B20" s="5" t="s">
        <v>122</v>
      </c>
      <c r="C20" s="3"/>
      <c r="D20" s="3"/>
      <c r="E20" s="3"/>
      <c r="F20" s="3"/>
      <c r="G20" s="3"/>
      <c r="H20" s="3"/>
      <c r="I20" s="3"/>
      <c r="J20" s="3"/>
    </row>
    <row r="21" spans="1:10">
      <c r="A21" s="2" t="s">
        <v>73</v>
      </c>
      <c r="B21" s="15" t="s">
        <v>74</v>
      </c>
      <c r="C21" s="3"/>
      <c r="D21" s="3"/>
      <c r="E21" s="3"/>
      <c r="F21" s="3"/>
      <c r="G21" s="3"/>
      <c r="H21" s="3"/>
      <c r="I21" s="3"/>
      <c r="J21" s="3"/>
    </row>
    <row r="22" spans="1:10">
      <c r="A22" s="3"/>
      <c r="B22" s="5" t="s">
        <v>75</v>
      </c>
      <c r="C22" s="3"/>
      <c r="D22" s="3"/>
      <c r="E22" s="3"/>
      <c r="F22" s="3"/>
      <c r="G22" s="3"/>
      <c r="H22" s="3"/>
      <c r="I22" s="3"/>
      <c r="J22" s="3"/>
    </row>
    <row r="23" spans="1:10">
      <c r="A23" s="3"/>
      <c r="B23" s="5" t="s">
        <v>76</v>
      </c>
      <c r="C23" s="3"/>
      <c r="D23" s="3"/>
      <c r="E23" s="3"/>
      <c r="F23" s="3"/>
      <c r="G23" s="3"/>
      <c r="H23" s="3"/>
      <c r="I23" s="3"/>
      <c r="J23" s="3"/>
    </row>
    <row r="24" spans="1:10">
      <c r="A24" s="2" t="s">
        <v>77</v>
      </c>
      <c r="B24" s="15" t="s">
        <v>78</v>
      </c>
      <c r="C24" s="3"/>
      <c r="D24" s="3"/>
      <c r="E24" s="3"/>
      <c r="F24" s="3"/>
      <c r="G24" s="3"/>
      <c r="H24" s="3"/>
      <c r="I24" s="3"/>
      <c r="J24" s="3"/>
    </row>
    <row r="25" spans="1:10">
      <c r="A25" s="3"/>
      <c r="B25" s="5" t="s">
        <v>75</v>
      </c>
      <c r="C25" s="3"/>
      <c r="D25" s="3"/>
      <c r="E25" s="3"/>
      <c r="F25" s="3"/>
      <c r="G25" s="3"/>
      <c r="H25" s="3"/>
      <c r="I25" s="3"/>
      <c r="J25" s="3"/>
    </row>
    <row r="26" spans="1:10">
      <c r="A26" s="3"/>
      <c r="B26" s="5" t="s">
        <v>76</v>
      </c>
      <c r="C26" s="3"/>
      <c r="D26" s="3"/>
      <c r="E26" s="3"/>
      <c r="F26" s="3"/>
      <c r="G26" s="3"/>
      <c r="H26" s="3"/>
      <c r="I26" s="3"/>
      <c r="J26" s="3"/>
    </row>
    <row r="27" spans="1:10">
      <c r="A27" s="2" t="s">
        <v>79</v>
      </c>
      <c r="B27" s="15" t="s">
        <v>80</v>
      </c>
      <c r="C27" s="3"/>
      <c r="D27" s="3"/>
      <c r="E27" s="3"/>
      <c r="F27" s="3"/>
      <c r="G27" s="3"/>
      <c r="H27" s="3"/>
      <c r="I27" s="3"/>
      <c r="J27" s="3"/>
    </row>
    <row r="28" spans="1:10">
      <c r="A28" s="3"/>
      <c r="B28" s="5" t="s">
        <v>81</v>
      </c>
      <c r="C28" s="3"/>
      <c r="D28" s="3"/>
      <c r="E28" s="3"/>
      <c r="F28" s="3"/>
      <c r="G28" s="3"/>
      <c r="H28" s="3"/>
      <c r="I28" s="3"/>
      <c r="J28" s="3"/>
    </row>
    <row r="29" spans="1:10">
      <c r="A29" s="3"/>
      <c r="B29" s="5" t="s">
        <v>82</v>
      </c>
      <c r="C29" s="3"/>
      <c r="D29" s="3"/>
      <c r="E29" s="3"/>
      <c r="F29" s="3"/>
      <c r="G29" s="3"/>
      <c r="H29" s="3"/>
      <c r="I29" s="3"/>
      <c r="J29" s="3"/>
    </row>
    <row r="30" spans="1:10">
      <c r="A30" s="2" t="s">
        <v>83</v>
      </c>
      <c r="B30" s="15" t="s">
        <v>84</v>
      </c>
      <c r="C30" s="3"/>
      <c r="D30" s="3"/>
      <c r="E30" s="3"/>
      <c r="F30" s="3"/>
      <c r="G30" s="3"/>
      <c r="H30" s="3"/>
      <c r="I30" s="3"/>
      <c r="J30" s="3"/>
    </row>
    <row r="31" spans="1:10">
      <c r="A31" s="3"/>
      <c r="B31" s="5" t="s">
        <v>85</v>
      </c>
      <c r="C31" s="3"/>
      <c r="D31" s="3"/>
      <c r="E31" s="3"/>
      <c r="F31" s="3"/>
      <c r="G31" s="3"/>
      <c r="H31" s="3"/>
      <c r="I31" s="3"/>
      <c r="J31" s="3"/>
    </row>
    <row r="32" spans="1:10">
      <c r="A32" s="3"/>
      <c r="B32" s="5" t="s">
        <v>86</v>
      </c>
      <c r="C32" s="3"/>
      <c r="D32" s="3"/>
      <c r="E32" s="3"/>
      <c r="F32" s="3"/>
      <c r="G32" s="3"/>
      <c r="H32" s="3"/>
      <c r="I32" s="3"/>
      <c r="J32" s="3"/>
    </row>
    <row r="33" spans="1:10">
      <c r="A33" s="2" t="s">
        <v>70</v>
      </c>
      <c r="B33" s="15" t="s">
        <v>123</v>
      </c>
      <c r="C33" s="3"/>
      <c r="D33" s="3"/>
      <c r="E33" s="3"/>
      <c r="F33" s="3"/>
      <c r="G33" s="3"/>
      <c r="H33" s="3"/>
      <c r="I33" s="3"/>
      <c r="J33" s="3"/>
    </row>
    <row r="34" spans="1:10">
      <c r="A34" s="3"/>
      <c r="B34" s="5" t="s">
        <v>85</v>
      </c>
      <c r="C34" s="3"/>
      <c r="D34" s="3"/>
      <c r="E34" s="3"/>
      <c r="F34" s="3"/>
      <c r="G34" s="3"/>
      <c r="H34" s="3"/>
      <c r="I34" s="3"/>
      <c r="J34" s="3"/>
    </row>
    <row r="35" spans="1:10">
      <c r="A35" s="3"/>
      <c r="B35" s="5" t="s">
        <v>86</v>
      </c>
      <c r="C35" s="3"/>
      <c r="D35" s="3"/>
      <c r="E35" s="3"/>
      <c r="F35" s="3"/>
      <c r="G35" s="3"/>
      <c r="H35" s="3"/>
      <c r="I35" s="3"/>
      <c r="J35" s="3"/>
    </row>
    <row r="36" spans="1:10">
      <c r="A36" s="3" t="s">
        <v>22</v>
      </c>
      <c r="B36" s="4" t="s">
        <v>87</v>
      </c>
      <c r="C36" s="3"/>
      <c r="D36" s="3"/>
      <c r="E36" s="3"/>
      <c r="F36" s="3"/>
      <c r="G36" s="3"/>
      <c r="H36" s="3"/>
      <c r="I36" s="3"/>
      <c r="J36" s="3"/>
    </row>
    <row r="37" spans="1:10">
      <c r="A37" s="3" t="s">
        <v>22</v>
      </c>
      <c r="B37" s="4" t="s">
        <v>88</v>
      </c>
      <c r="C37" s="3"/>
      <c r="D37" s="3"/>
      <c r="E37" s="3"/>
      <c r="F37" s="3"/>
      <c r="G37" s="3"/>
      <c r="H37" s="3"/>
      <c r="I37" s="3"/>
      <c r="J37" s="3"/>
    </row>
    <row r="38" spans="1:10">
      <c r="A38" s="2" t="s">
        <v>89</v>
      </c>
      <c r="B38" s="15" t="s">
        <v>90</v>
      </c>
      <c r="C38" s="3"/>
      <c r="D38" s="3"/>
      <c r="E38" s="3"/>
      <c r="F38" s="3"/>
      <c r="G38" s="3"/>
      <c r="H38" s="3"/>
      <c r="I38" s="3"/>
      <c r="J38" s="3"/>
    </row>
    <row r="39" spans="1:10">
      <c r="A39" s="3"/>
      <c r="B39" s="5" t="s">
        <v>91</v>
      </c>
      <c r="C39" s="3"/>
      <c r="D39" s="3"/>
      <c r="E39" s="3"/>
      <c r="F39" s="3"/>
      <c r="G39" s="3"/>
      <c r="H39" s="3"/>
      <c r="I39" s="3"/>
      <c r="J39" s="3"/>
    </row>
    <row r="40" spans="1:10">
      <c r="A40" s="3"/>
      <c r="B40" s="5" t="s">
        <v>92</v>
      </c>
      <c r="C40" s="3"/>
      <c r="D40" s="3"/>
      <c r="E40" s="3"/>
      <c r="F40" s="3"/>
      <c r="G40" s="3"/>
      <c r="H40" s="3"/>
      <c r="I40" s="3"/>
      <c r="J40" s="3"/>
    </row>
    <row r="41" spans="1:10">
      <c r="A41" s="2" t="s">
        <v>83</v>
      </c>
      <c r="B41" s="15" t="s">
        <v>93</v>
      </c>
      <c r="C41" s="3"/>
      <c r="D41" s="3"/>
      <c r="E41" s="3"/>
      <c r="F41" s="3"/>
      <c r="G41" s="3"/>
      <c r="H41" s="3"/>
      <c r="I41" s="3"/>
      <c r="J41" s="3"/>
    </row>
    <row r="42" spans="1:10">
      <c r="A42" s="3"/>
      <c r="B42" s="5" t="s">
        <v>94</v>
      </c>
      <c r="C42" s="3"/>
      <c r="D42" s="3"/>
      <c r="E42" s="3"/>
      <c r="F42" s="3"/>
      <c r="G42" s="3"/>
      <c r="H42" s="3"/>
      <c r="I42" s="3"/>
      <c r="J42" s="3"/>
    </row>
    <row r="43" spans="1:10">
      <c r="A43" s="3"/>
      <c r="B43" s="5" t="s">
        <v>95</v>
      </c>
      <c r="C43" s="3"/>
      <c r="D43" s="3"/>
      <c r="E43" s="3"/>
      <c r="F43" s="3"/>
      <c r="G43" s="3"/>
      <c r="H43" s="3"/>
      <c r="I43" s="3"/>
      <c r="J43" s="3"/>
    </row>
    <row r="44" spans="1:10">
      <c r="A44" s="2" t="s">
        <v>70</v>
      </c>
      <c r="B44" s="15" t="s">
        <v>96</v>
      </c>
      <c r="C44" s="3"/>
      <c r="D44" s="3"/>
      <c r="E44" s="3"/>
      <c r="F44" s="3"/>
      <c r="G44" s="3"/>
      <c r="H44" s="3"/>
      <c r="I44" s="3"/>
      <c r="J44" s="3"/>
    </row>
    <row r="45" spans="1:10">
      <c r="A45" s="3"/>
      <c r="B45" s="5" t="s">
        <v>94</v>
      </c>
      <c r="C45" s="3"/>
      <c r="D45" s="3"/>
      <c r="E45" s="3"/>
      <c r="F45" s="3"/>
      <c r="G45" s="3"/>
      <c r="H45" s="3"/>
      <c r="I45" s="3"/>
      <c r="J45" s="3"/>
    </row>
    <row r="46" spans="1:10">
      <c r="A46" s="3"/>
      <c r="B46" s="5" t="s">
        <v>95</v>
      </c>
      <c r="C46" s="3"/>
      <c r="D46" s="3"/>
      <c r="E46" s="3"/>
      <c r="F46" s="3"/>
      <c r="G46" s="3"/>
      <c r="H46" s="3"/>
      <c r="I46" s="3"/>
      <c r="J46" s="3"/>
    </row>
    <row r="47" spans="1:10" ht="28.5">
      <c r="A47" s="2" t="s">
        <v>73</v>
      </c>
      <c r="B47" s="15" t="s">
        <v>97</v>
      </c>
      <c r="C47" s="3"/>
      <c r="D47" s="3"/>
      <c r="E47" s="3"/>
      <c r="F47" s="3"/>
      <c r="G47" s="3"/>
      <c r="H47" s="3"/>
      <c r="I47" s="3"/>
      <c r="J47" s="3"/>
    </row>
    <row r="48" spans="1:10">
      <c r="A48" s="3"/>
      <c r="B48" s="5" t="s">
        <v>94</v>
      </c>
      <c r="C48" s="3"/>
      <c r="D48" s="3"/>
      <c r="E48" s="3"/>
      <c r="F48" s="3"/>
      <c r="G48" s="3"/>
      <c r="H48" s="3"/>
      <c r="I48" s="3"/>
      <c r="J48" s="3"/>
    </row>
    <row r="49" spans="1:10">
      <c r="A49" s="3"/>
      <c r="B49" s="5" t="s">
        <v>95</v>
      </c>
      <c r="C49" s="3"/>
      <c r="D49" s="3"/>
      <c r="E49" s="3"/>
      <c r="F49" s="3"/>
      <c r="G49" s="3"/>
      <c r="H49" s="3"/>
      <c r="I49" s="3"/>
      <c r="J49" s="3"/>
    </row>
    <row r="50" spans="1:10">
      <c r="A50" s="2" t="s">
        <v>77</v>
      </c>
      <c r="B50" s="15" t="s">
        <v>98</v>
      </c>
      <c r="C50" s="3"/>
      <c r="D50" s="3"/>
      <c r="E50" s="3"/>
      <c r="F50" s="3"/>
      <c r="G50" s="3"/>
      <c r="H50" s="3"/>
      <c r="I50" s="3"/>
      <c r="J50" s="3"/>
    </row>
    <row r="51" spans="1:10">
      <c r="A51" s="2" t="s">
        <v>99</v>
      </c>
      <c r="B51" s="15" t="s">
        <v>100</v>
      </c>
      <c r="C51" s="3"/>
      <c r="D51" s="3"/>
      <c r="E51" s="3"/>
      <c r="F51" s="3"/>
      <c r="G51" s="3"/>
      <c r="H51" s="3"/>
      <c r="I51" s="3"/>
      <c r="J51" s="3"/>
    </row>
    <row r="52" spans="1:10">
      <c r="A52" s="2" t="s">
        <v>101</v>
      </c>
      <c r="B52" s="15" t="s">
        <v>102</v>
      </c>
      <c r="C52" s="3"/>
      <c r="D52" s="3"/>
      <c r="E52" s="3"/>
      <c r="F52" s="3"/>
      <c r="G52" s="3"/>
      <c r="H52" s="3"/>
      <c r="I52" s="3"/>
      <c r="J52" s="3"/>
    </row>
    <row r="53" spans="1:10">
      <c r="A53" s="2" t="s">
        <v>83</v>
      </c>
      <c r="B53" s="15" t="s">
        <v>103</v>
      </c>
      <c r="C53" s="3"/>
      <c r="D53" s="3"/>
      <c r="E53" s="3"/>
      <c r="F53" s="3"/>
      <c r="G53" s="3"/>
      <c r="H53" s="3"/>
      <c r="I53" s="3"/>
      <c r="J53" s="3"/>
    </row>
    <row r="54" spans="1:10">
      <c r="A54" s="2" t="s">
        <v>70</v>
      </c>
      <c r="B54" s="15" t="s">
        <v>104</v>
      </c>
      <c r="C54" s="3"/>
      <c r="D54" s="3"/>
      <c r="E54" s="3"/>
      <c r="F54" s="3"/>
      <c r="G54" s="3"/>
      <c r="H54" s="3"/>
      <c r="I54" s="3"/>
      <c r="J54" s="3"/>
    </row>
    <row r="55" spans="1:10" ht="30">
      <c r="A55" s="3"/>
      <c r="B55" s="5" t="s">
        <v>105</v>
      </c>
      <c r="C55" s="3"/>
      <c r="D55" s="3"/>
      <c r="E55" s="3"/>
      <c r="F55" s="3"/>
      <c r="G55" s="3"/>
      <c r="H55" s="3"/>
      <c r="I55" s="3"/>
      <c r="J55" s="3"/>
    </row>
    <row r="56" spans="1:10">
      <c r="A56" s="3"/>
      <c r="B56" s="5" t="s">
        <v>106</v>
      </c>
      <c r="C56" s="3"/>
      <c r="D56" s="3"/>
      <c r="E56" s="3"/>
      <c r="F56" s="3"/>
      <c r="G56" s="3"/>
      <c r="H56" s="3"/>
      <c r="I56" s="3"/>
      <c r="J56" s="3"/>
    </row>
    <row r="57" spans="1:10">
      <c r="A57" s="2" t="s">
        <v>73</v>
      </c>
      <c r="B57" s="15" t="s">
        <v>107</v>
      </c>
      <c r="C57" s="3"/>
      <c r="D57" s="3"/>
      <c r="E57" s="3"/>
      <c r="F57" s="3"/>
      <c r="G57" s="3"/>
      <c r="H57" s="3"/>
      <c r="I57" s="3"/>
      <c r="J57" s="3"/>
    </row>
    <row r="58" spans="1:10">
      <c r="A58" s="3" t="s">
        <v>22</v>
      </c>
      <c r="B58" s="4" t="s">
        <v>108</v>
      </c>
      <c r="C58" s="3"/>
      <c r="D58" s="3"/>
      <c r="E58" s="3"/>
      <c r="F58" s="3"/>
      <c r="G58" s="3"/>
      <c r="H58" s="3"/>
      <c r="I58" s="3"/>
      <c r="J58" s="3"/>
    </row>
    <row r="59" spans="1:10" ht="30">
      <c r="A59" s="3" t="s">
        <v>22</v>
      </c>
      <c r="B59" s="4" t="s">
        <v>109</v>
      </c>
      <c r="C59" s="3"/>
      <c r="D59" s="3"/>
      <c r="E59" s="3"/>
      <c r="F59" s="3"/>
      <c r="G59" s="3"/>
      <c r="H59" s="3"/>
      <c r="I59" s="3"/>
      <c r="J59" s="3"/>
    </row>
    <row r="60" spans="1:10">
      <c r="A60" s="2" t="s">
        <v>77</v>
      </c>
      <c r="B60" s="15" t="s">
        <v>110</v>
      </c>
      <c r="C60" s="3"/>
      <c r="D60" s="3"/>
      <c r="E60" s="3"/>
      <c r="F60" s="3"/>
      <c r="G60" s="3"/>
      <c r="H60" s="3"/>
      <c r="I60" s="3"/>
      <c r="J60" s="3"/>
    </row>
    <row r="61" spans="1:10">
      <c r="A61" s="3" t="s">
        <v>22</v>
      </c>
      <c r="B61" s="4" t="s">
        <v>111</v>
      </c>
      <c r="C61" s="3"/>
      <c r="D61" s="3"/>
      <c r="E61" s="3"/>
      <c r="F61" s="3"/>
      <c r="G61" s="3"/>
      <c r="H61" s="3"/>
      <c r="I61" s="3"/>
      <c r="J61" s="3"/>
    </row>
    <row r="62" spans="1:10">
      <c r="A62" s="3" t="s">
        <v>22</v>
      </c>
      <c r="B62" s="4" t="s">
        <v>112</v>
      </c>
      <c r="C62" s="3"/>
      <c r="D62" s="3"/>
      <c r="E62" s="3"/>
      <c r="F62" s="3"/>
      <c r="G62" s="3"/>
      <c r="H62" s="3"/>
      <c r="I62" s="3"/>
      <c r="J62" s="3"/>
    </row>
    <row r="63" spans="1:10">
      <c r="A63" s="2" t="s">
        <v>113</v>
      </c>
      <c r="B63" s="15" t="s">
        <v>114</v>
      </c>
      <c r="C63" s="3"/>
      <c r="D63" s="3"/>
      <c r="E63" s="3"/>
      <c r="F63" s="3"/>
      <c r="G63" s="3"/>
      <c r="H63" s="3"/>
      <c r="I63" s="3"/>
      <c r="J63" s="3"/>
    </row>
    <row r="64" spans="1:10" ht="30">
      <c r="A64" s="3"/>
      <c r="B64" s="5" t="s">
        <v>115</v>
      </c>
      <c r="C64" s="3"/>
      <c r="D64" s="3"/>
      <c r="E64" s="3"/>
      <c r="F64" s="3"/>
      <c r="G64" s="3"/>
      <c r="H64" s="3"/>
      <c r="I64" s="3"/>
      <c r="J64" s="3"/>
    </row>
    <row r="65" spans="1:10">
      <c r="A65" s="3"/>
      <c r="B65" s="5" t="s">
        <v>116</v>
      </c>
      <c r="C65" s="3"/>
      <c r="D65" s="3"/>
      <c r="E65" s="3"/>
      <c r="F65" s="3"/>
      <c r="G65" s="3"/>
      <c r="H65" s="3"/>
      <c r="I65" s="3"/>
      <c r="J65" s="3"/>
    </row>
    <row r="66" spans="1:10">
      <c r="A66" s="16" t="s">
        <v>118</v>
      </c>
    </row>
    <row r="67" spans="1:10">
      <c r="A67" s="709" t="s">
        <v>119</v>
      </c>
      <c r="B67" s="709"/>
      <c r="C67" s="709"/>
      <c r="D67" s="709"/>
      <c r="E67" s="709"/>
      <c r="F67" s="709"/>
      <c r="G67" s="709"/>
      <c r="H67" s="709"/>
      <c r="I67" s="709"/>
      <c r="J67" s="709"/>
    </row>
    <row r="68" spans="1:10">
      <c r="A68" s="6" t="s">
        <v>117</v>
      </c>
    </row>
  </sheetData>
  <customSheetViews>
    <customSheetView guid="{9F606621-8853-4836-9A7E-DBA5CF152671}" state="hidden">
      <selection sqref="A1:J1"/>
      <pageMargins left="0.7" right="0.7" top="0.75" bottom="0.75" header="0.3" footer="0.3"/>
      <pageSetup paperSize="9" orientation="portrait" verticalDpi="0" r:id="rId1"/>
    </customSheetView>
    <customSheetView guid="{DB9039ED-C6EA-422D-9A5D-D152D95EDC67}" state="hidden">
      <selection sqref="A1:J1"/>
      <pageMargins left="0.7" right="0.7" top="0.75" bottom="0.75" header="0.3" footer="0.3"/>
      <pageSetup paperSize="9" orientation="portrait" verticalDpi="0" r:id="rId2"/>
    </customSheetView>
  </customSheetViews>
  <mergeCells count="10">
    <mergeCell ref="A1:J1"/>
    <mergeCell ref="A2:J2"/>
    <mergeCell ref="A3:J3"/>
    <mergeCell ref="I4:J4"/>
    <mergeCell ref="A67:J67"/>
    <mergeCell ref="A5:A6"/>
    <mergeCell ref="B5:B6"/>
    <mergeCell ref="C5:C6"/>
    <mergeCell ref="D5:I5"/>
    <mergeCell ref="J5:J6"/>
  </mergeCells>
  <pageMargins left="0.7" right="0.7" top="0.75" bottom="0.75" header="0.3" footer="0.3"/>
  <pageSetup paperSize="9" orientation="portrait" verticalDpi="0" r:id="rId3"/>
</worksheet>
</file>

<file path=xl/worksheets/sheet20.xml><?xml version="1.0" encoding="utf-8"?>
<worksheet xmlns="http://schemas.openxmlformats.org/spreadsheetml/2006/main" xmlns:r="http://schemas.openxmlformats.org/officeDocument/2006/relationships">
  <dimension ref="A1:I41"/>
  <sheetViews>
    <sheetView workbookViewId="0">
      <selection activeCell="D18" sqref="D18"/>
    </sheetView>
  </sheetViews>
  <sheetFormatPr defaultColWidth="9.140625" defaultRowHeight="15"/>
  <cols>
    <col min="1" max="1" width="6.28515625" style="8" customWidth="1"/>
    <col min="2" max="2" width="37.28515625" style="8" customWidth="1"/>
    <col min="3" max="4" width="11" style="8" customWidth="1"/>
    <col min="5" max="6" width="12.42578125" style="8" customWidth="1"/>
    <col min="7" max="16384" width="9.140625" style="8"/>
  </cols>
  <sheetData>
    <row r="1" spans="1:6" ht="22.5" customHeight="1">
      <c r="A1" s="706" t="s">
        <v>457</v>
      </c>
      <c r="B1" s="706"/>
      <c r="C1" s="706"/>
      <c r="D1" s="706"/>
      <c r="E1" s="706"/>
      <c r="F1" s="706"/>
    </row>
    <row r="2" spans="1:6" ht="38.25" customHeight="1">
      <c r="A2" s="707" t="s">
        <v>830</v>
      </c>
      <c r="B2" s="707"/>
      <c r="C2" s="707"/>
      <c r="D2" s="707"/>
      <c r="E2" s="707"/>
      <c r="F2" s="707"/>
    </row>
    <row r="3" spans="1:6">
      <c r="A3" s="707"/>
      <c r="B3" s="707"/>
      <c r="C3" s="707"/>
      <c r="D3" s="707"/>
      <c r="E3" s="707"/>
      <c r="F3" s="707"/>
    </row>
    <row r="4" spans="1:6">
      <c r="B4" s="1"/>
      <c r="C4" s="1"/>
      <c r="E4" s="708" t="s">
        <v>56</v>
      </c>
      <c r="F4" s="708"/>
    </row>
    <row r="5" spans="1:6">
      <c r="A5" s="705" t="s">
        <v>3</v>
      </c>
      <c r="B5" s="705" t="s">
        <v>4</v>
      </c>
      <c r="C5" s="705" t="s">
        <v>796</v>
      </c>
      <c r="D5" s="705" t="s">
        <v>788</v>
      </c>
      <c r="E5" s="705" t="s">
        <v>226</v>
      </c>
      <c r="F5" s="705"/>
    </row>
    <row r="6" spans="1:6" ht="38.25" customHeight="1">
      <c r="A6" s="705"/>
      <c r="B6" s="705"/>
      <c r="C6" s="705"/>
      <c r="D6" s="705"/>
      <c r="E6" s="23" t="s">
        <v>227</v>
      </c>
      <c r="F6" s="23" t="s">
        <v>403</v>
      </c>
    </row>
    <row r="7" spans="1:6">
      <c r="A7" s="23" t="s">
        <v>15</v>
      </c>
      <c r="B7" s="23" t="s">
        <v>16</v>
      </c>
      <c r="C7" s="23">
        <v>1</v>
      </c>
      <c r="D7" s="23">
        <v>2</v>
      </c>
      <c r="E7" s="23" t="s">
        <v>332</v>
      </c>
      <c r="F7" s="23" t="s">
        <v>333</v>
      </c>
    </row>
    <row r="8" spans="1:6">
      <c r="A8" s="55" t="s">
        <v>15</v>
      </c>
      <c r="B8" s="56" t="s">
        <v>283</v>
      </c>
      <c r="C8" s="63"/>
      <c r="D8" s="63"/>
      <c r="E8" s="55"/>
      <c r="F8" s="55"/>
    </row>
    <row r="9" spans="1:6" s="157" customFormat="1" ht="14.25">
      <c r="A9" s="57" t="s">
        <v>83</v>
      </c>
      <c r="B9" s="58" t="s">
        <v>284</v>
      </c>
      <c r="C9" s="110" t="e">
        <f>+C10+C11+C14+C15+C16</f>
        <v>#REF!</v>
      </c>
      <c r="D9" s="110" t="e">
        <f>+D10+D11+D14+D15+D16</f>
        <v>#REF!</v>
      </c>
      <c r="E9" s="110" t="e">
        <f>D9-C9</f>
        <v>#REF!</v>
      </c>
      <c r="F9" s="116" t="e">
        <f>+D9/C9</f>
        <v>#REF!</v>
      </c>
    </row>
    <row r="10" spans="1:6">
      <c r="A10" s="59">
        <v>1</v>
      </c>
      <c r="B10" s="60" t="s">
        <v>285</v>
      </c>
      <c r="C10" s="109" t="e">
        <f>+'46-CK NSNN'!#REF!</f>
        <v>#REF!</v>
      </c>
      <c r="D10" s="109" t="e">
        <f>+'46-CK NSNN'!#REF!</f>
        <v>#REF!</v>
      </c>
      <c r="E10" s="109" t="e">
        <f t="shared" ref="E10:E37" si="0">D10-C10</f>
        <v>#REF!</v>
      </c>
      <c r="F10" s="117" t="e">
        <f t="shared" ref="F10:F33" si="1">+D10/C10</f>
        <v>#REF!</v>
      </c>
    </row>
    <row r="11" spans="1:6">
      <c r="A11" s="59">
        <v>2</v>
      </c>
      <c r="B11" s="60" t="s">
        <v>286</v>
      </c>
      <c r="C11" s="109" t="e">
        <f>+C12+C13</f>
        <v>#REF!</v>
      </c>
      <c r="D11" s="109" t="e">
        <f>+D12+D13</f>
        <v>#REF!</v>
      </c>
      <c r="E11" s="109" t="e">
        <f t="shared" si="0"/>
        <v>#REF!</v>
      </c>
      <c r="F11" s="117" t="e">
        <f t="shared" si="1"/>
        <v>#REF!</v>
      </c>
    </row>
    <row r="12" spans="1:6">
      <c r="A12" s="59" t="s">
        <v>22</v>
      </c>
      <c r="B12" s="60" t="s">
        <v>234</v>
      </c>
      <c r="C12" s="109" t="e">
        <f>+'46-CK NSNN'!#REF!</f>
        <v>#REF!</v>
      </c>
      <c r="D12" s="109" t="e">
        <f>'46-CK NSNN'!#REF!</f>
        <v>#REF!</v>
      </c>
      <c r="E12" s="109" t="e">
        <f t="shared" si="0"/>
        <v>#REF!</v>
      </c>
      <c r="F12" s="117" t="e">
        <f t="shared" si="1"/>
        <v>#REF!</v>
      </c>
    </row>
    <row r="13" spans="1:6">
      <c r="A13" s="59" t="s">
        <v>22</v>
      </c>
      <c r="B13" s="60" t="s">
        <v>88</v>
      </c>
      <c r="C13" s="109" t="e">
        <f>+'46-CK NSNN'!#REF!</f>
        <v>#REF!</v>
      </c>
      <c r="D13" s="109" t="e">
        <f>'46-CK NSNN'!#REF!</f>
        <v>#REF!</v>
      </c>
      <c r="E13" s="109" t="e">
        <f t="shared" si="0"/>
        <v>#REF!</v>
      </c>
      <c r="F13" s="117" t="e">
        <f t="shared" si="1"/>
        <v>#REF!</v>
      </c>
    </row>
    <row r="14" spans="1:6">
      <c r="A14" s="59">
        <v>3</v>
      </c>
      <c r="B14" s="60" t="s">
        <v>460</v>
      </c>
      <c r="C14" s="109"/>
      <c r="D14" s="109" t="e">
        <f>'46-CK NSNN'!#REF!</f>
        <v>#REF!</v>
      </c>
      <c r="E14" s="109" t="e">
        <f t="shared" si="0"/>
        <v>#REF!</v>
      </c>
      <c r="F14" s="117"/>
    </row>
    <row r="15" spans="1:6">
      <c r="A15" s="59">
        <v>4</v>
      </c>
      <c r="B15" s="60" t="s">
        <v>236</v>
      </c>
      <c r="C15" s="109"/>
      <c r="D15" s="109" t="e">
        <f>'46-CK NSNN'!#REF!</f>
        <v>#REF!</v>
      </c>
      <c r="E15" s="109" t="e">
        <f t="shared" si="0"/>
        <v>#REF!</v>
      </c>
      <c r="F15" s="117"/>
    </row>
    <row r="16" spans="1:6" ht="30">
      <c r="A16" s="59">
        <v>5</v>
      </c>
      <c r="B16" s="60" t="s">
        <v>237</v>
      </c>
      <c r="C16" s="109"/>
      <c r="D16" s="109" t="e">
        <f>'46-CK NSNN'!#REF!</f>
        <v>#REF!</v>
      </c>
      <c r="E16" s="109" t="e">
        <f t="shared" si="0"/>
        <v>#REF!</v>
      </c>
      <c r="F16" s="117"/>
    </row>
    <row r="17" spans="1:9" s="157" customFormat="1" ht="14.25">
      <c r="A17" s="57" t="s">
        <v>70</v>
      </c>
      <c r="B17" s="58" t="s">
        <v>295</v>
      </c>
      <c r="C17" s="110" t="e">
        <f>+C18+C19+C22</f>
        <v>#REF!</v>
      </c>
      <c r="D17" s="110" t="e">
        <f>+D18+D19+D22</f>
        <v>#REF!</v>
      </c>
      <c r="E17" s="110" t="e">
        <f t="shared" si="0"/>
        <v>#REF!</v>
      </c>
      <c r="F17" s="116" t="e">
        <f t="shared" si="1"/>
        <v>#REF!</v>
      </c>
    </row>
    <row r="18" spans="1:9" ht="30">
      <c r="A18" s="59">
        <v>1</v>
      </c>
      <c r="B18" s="60" t="s">
        <v>289</v>
      </c>
      <c r="C18" s="109" t="e">
        <f>+'46-CK NSNN'!#REF!</f>
        <v>#REF!</v>
      </c>
      <c r="D18" s="109" t="e">
        <f>'46-CK NSNN'!#REF!-D22</f>
        <v>#REF!</v>
      </c>
      <c r="E18" s="109" t="e">
        <f t="shared" si="0"/>
        <v>#REF!</v>
      </c>
      <c r="F18" s="117" t="e">
        <f t="shared" si="1"/>
        <v>#REF!</v>
      </c>
    </row>
    <row r="19" spans="1:9">
      <c r="A19" s="59">
        <v>2</v>
      </c>
      <c r="B19" s="60" t="s">
        <v>297</v>
      </c>
      <c r="C19" s="109" t="e">
        <f>+C20+C21</f>
        <v>#REF!</v>
      </c>
      <c r="D19" s="109" t="e">
        <f>+D20+D21</f>
        <v>#REF!</v>
      </c>
      <c r="E19" s="109" t="e">
        <f t="shared" si="0"/>
        <v>#REF!</v>
      </c>
      <c r="F19" s="117" t="e">
        <f t="shared" si="1"/>
        <v>#REF!</v>
      </c>
    </row>
    <row r="20" spans="1:9">
      <c r="A20" s="59" t="s">
        <v>22</v>
      </c>
      <c r="B20" s="60" t="s">
        <v>291</v>
      </c>
      <c r="C20" s="109" t="e">
        <f>+'46-CK NSNN'!#REF!</f>
        <v>#REF!</v>
      </c>
      <c r="D20" s="109" t="e">
        <f>'46-CK NSNN'!#REF!</f>
        <v>#REF!</v>
      </c>
      <c r="E20" s="109" t="e">
        <f t="shared" si="0"/>
        <v>#REF!</v>
      </c>
      <c r="F20" s="117" t="e">
        <f t="shared" si="1"/>
        <v>#REF!</v>
      </c>
    </row>
    <row r="21" spans="1:9">
      <c r="A21" s="59" t="s">
        <v>22</v>
      </c>
      <c r="B21" s="60" t="s">
        <v>292</v>
      </c>
      <c r="C21" s="109" t="e">
        <f>+'46-CK NSNN'!#REF!</f>
        <v>#REF!</v>
      </c>
      <c r="D21" s="109" t="e">
        <f>'46-CK NSNN'!#REF!</f>
        <v>#REF!</v>
      </c>
      <c r="E21" s="109" t="e">
        <f t="shared" si="0"/>
        <v>#REF!</v>
      </c>
      <c r="F21" s="117" t="e">
        <f t="shared" si="1"/>
        <v>#REF!</v>
      </c>
    </row>
    <row r="22" spans="1:9">
      <c r="A22" s="59">
        <v>3</v>
      </c>
      <c r="B22" s="60" t="s">
        <v>245</v>
      </c>
      <c r="C22" s="109"/>
      <c r="D22" s="109">
        <f>'22 - DG chi T+H2017'!G83</f>
        <v>87733</v>
      </c>
      <c r="E22" s="109">
        <f t="shared" si="0"/>
        <v>87733</v>
      </c>
      <c r="F22" s="117"/>
    </row>
    <row r="23" spans="1:9" s="157" customFormat="1" ht="14.25">
      <c r="A23" s="57" t="s">
        <v>73</v>
      </c>
      <c r="B23" s="58" t="s">
        <v>293</v>
      </c>
      <c r="C23" s="110" t="e">
        <f>C9-C17</f>
        <v>#REF!</v>
      </c>
      <c r="D23" s="110" t="e">
        <f>D9-D17</f>
        <v>#REF!</v>
      </c>
      <c r="E23" s="110" t="e">
        <f t="shared" si="0"/>
        <v>#REF!</v>
      </c>
      <c r="F23" s="116" t="e">
        <f t="shared" si="1"/>
        <v>#REF!</v>
      </c>
      <c r="I23" s="485"/>
    </row>
    <row r="24" spans="1:9" s="157" customFormat="1" ht="14.25">
      <c r="A24" s="57" t="s">
        <v>16</v>
      </c>
      <c r="B24" s="58" t="s">
        <v>827</v>
      </c>
      <c r="C24" s="110"/>
      <c r="D24" s="110"/>
      <c r="E24" s="110">
        <f t="shared" si="0"/>
        <v>0</v>
      </c>
      <c r="F24" s="116"/>
    </row>
    <row r="25" spans="1:9" s="157" customFormat="1" ht="14.25">
      <c r="A25" s="57" t="s">
        <v>83</v>
      </c>
      <c r="B25" s="58" t="s">
        <v>284</v>
      </c>
      <c r="C25" s="110" t="e">
        <f>+C26+C27+C30+C31</f>
        <v>#REF!</v>
      </c>
      <c r="D25" s="110" t="e">
        <f>+D26+D27+D30+D31</f>
        <v>#REF!</v>
      </c>
      <c r="E25" s="110" t="e">
        <f t="shared" si="0"/>
        <v>#REF!</v>
      </c>
      <c r="F25" s="116" t="e">
        <f t="shared" si="1"/>
        <v>#REF!</v>
      </c>
    </row>
    <row r="26" spans="1:9">
      <c r="A26" s="59">
        <v>1</v>
      </c>
      <c r="B26" s="60" t="s">
        <v>285</v>
      </c>
      <c r="C26" s="109" t="e">
        <f>+'46-CK NSNN'!#REF!</f>
        <v>#REF!</v>
      </c>
      <c r="D26" s="109" t="e">
        <f>'21-DGthu H 2017'!AE8</f>
        <v>#REF!</v>
      </c>
      <c r="E26" s="109" t="e">
        <f t="shared" si="0"/>
        <v>#REF!</v>
      </c>
      <c r="F26" s="117" t="e">
        <f t="shared" si="1"/>
        <v>#REF!</v>
      </c>
    </row>
    <row r="27" spans="1:9">
      <c r="A27" s="59">
        <v>2</v>
      </c>
      <c r="B27" s="60" t="s">
        <v>286</v>
      </c>
      <c r="C27" s="109" t="e">
        <f>+C28+C29</f>
        <v>#REF!</v>
      </c>
      <c r="D27" s="109" t="e">
        <f>+D28+D29</f>
        <v>#REF!</v>
      </c>
      <c r="E27" s="109" t="e">
        <f t="shared" si="0"/>
        <v>#REF!</v>
      </c>
      <c r="F27" s="117" t="e">
        <f t="shared" si="1"/>
        <v>#REF!</v>
      </c>
    </row>
    <row r="28" spans="1:9">
      <c r="A28" s="59" t="s">
        <v>22</v>
      </c>
      <c r="B28" s="60" t="s">
        <v>234</v>
      </c>
      <c r="C28" s="109" t="e">
        <f>+C20</f>
        <v>#REF!</v>
      </c>
      <c r="D28" s="109" t="e">
        <f>'46-CK NSNN'!#REF!</f>
        <v>#REF!</v>
      </c>
      <c r="E28" s="109" t="e">
        <f t="shared" si="0"/>
        <v>#REF!</v>
      </c>
      <c r="F28" s="117" t="e">
        <f t="shared" si="1"/>
        <v>#REF!</v>
      </c>
    </row>
    <row r="29" spans="1:9">
      <c r="A29" s="59" t="s">
        <v>22</v>
      </c>
      <c r="B29" s="60" t="s">
        <v>88</v>
      </c>
      <c r="C29" s="109" t="e">
        <f>+C21</f>
        <v>#REF!</v>
      </c>
      <c r="D29" s="109" t="e">
        <f>'46-CK NSNN'!#REF!</f>
        <v>#REF!</v>
      </c>
      <c r="E29" s="109" t="e">
        <f t="shared" si="0"/>
        <v>#REF!</v>
      </c>
      <c r="F29" s="117" t="e">
        <f t="shared" si="1"/>
        <v>#REF!</v>
      </c>
    </row>
    <row r="30" spans="1:9">
      <c r="A30" s="59">
        <v>3</v>
      </c>
      <c r="B30" s="60" t="s">
        <v>287</v>
      </c>
      <c r="C30" s="109"/>
      <c r="D30" s="109"/>
      <c r="E30" s="109">
        <f t="shared" si="0"/>
        <v>0</v>
      </c>
      <c r="F30" s="117"/>
    </row>
    <row r="31" spans="1:9" ht="30">
      <c r="A31" s="59">
        <v>4</v>
      </c>
      <c r="B31" s="60" t="s">
        <v>237</v>
      </c>
      <c r="C31" s="109"/>
      <c r="D31" s="109" t="e">
        <f>'46-CK NSNN'!#REF!</f>
        <v>#REF!</v>
      </c>
      <c r="E31" s="109" t="e">
        <f t="shared" si="0"/>
        <v>#REF!</v>
      </c>
      <c r="F31" s="117"/>
    </row>
    <row r="32" spans="1:9">
      <c r="A32" s="57" t="s">
        <v>70</v>
      </c>
      <c r="B32" s="58" t="s">
        <v>295</v>
      </c>
      <c r="C32" s="110" t="e">
        <f>+'46-CK NSNN'!#REF!</f>
        <v>#REF!</v>
      </c>
      <c r="D32" s="110">
        <f>'22 - DG chi T+H2017'!H8</f>
        <v>6091420.4053053334</v>
      </c>
      <c r="E32" s="110" t="e">
        <f t="shared" si="0"/>
        <v>#REF!</v>
      </c>
      <c r="F32" s="116" t="e">
        <f t="shared" si="1"/>
        <v>#REF!</v>
      </c>
    </row>
    <row r="33" spans="1:6" ht="30">
      <c r="A33" s="59">
        <v>1</v>
      </c>
      <c r="B33" s="60" t="s">
        <v>828</v>
      </c>
      <c r="C33" s="109" t="e">
        <f>+C32</f>
        <v>#REF!</v>
      </c>
      <c r="D33" s="109">
        <f>+D32-D37</f>
        <v>5614793.2293053335</v>
      </c>
      <c r="E33" s="109" t="e">
        <f t="shared" si="0"/>
        <v>#REF!</v>
      </c>
      <c r="F33" s="117" t="e">
        <f t="shared" si="1"/>
        <v>#REF!</v>
      </c>
    </row>
    <row r="34" spans="1:6">
      <c r="A34" s="59">
        <v>2</v>
      </c>
      <c r="B34" s="60" t="s">
        <v>829</v>
      </c>
      <c r="C34" s="109"/>
      <c r="D34" s="109"/>
      <c r="E34" s="109">
        <f t="shared" si="0"/>
        <v>0</v>
      </c>
      <c r="F34" s="117"/>
    </row>
    <row r="35" spans="1:6">
      <c r="A35" s="59" t="s">
        <v>22</v>
      </c>
      <c r="B35" s="60" t="s">
        <v>291</v>
      </c>
      <c r="C35" s="109"/>
      <c r="D35" s="109"/>
      <c r="E35" s="109">
        <f t="shared" si="0"/>
        <v>0</v>
      </c>
      <c r="F35" s="117"/>
    </row>
    <row r="36" spans="1:6">
      <c r="A36" s="59" t="s">
        <v>22</v>
      </c>
      <c r="B36" s="60" t="s">
        <v>292</v>
      </c>
      <c r="C36" s="109"/>
      <c r="D36" s="109"/>
      <c r="E36" s="109">
        <f t="shared" si="0"/>
        <v>0</v>
      </c>
      <c r="F36" s="117"/>
    </row>
    <row r="37" spans="1:6">
      <c r="A37" s="65">
        <v>3</v>
      </c>
      <c r="B37" s="70" t="s">
        <v>245</v>
      </c>
      <c r="C37" s="112"/>
      <c r="D37" s="112">
        <f>'22 - DG chi T+H2017'!H83</f>
        <v>476627.17599999998</v>
      </c>
      <c r="E37" s="112">
        <f t="shared" si="0"/>
        <v>476627.17599999998</v>
      </c>
      <c r="F37" s="174"/>
    </row>
    <row r="38" spans="1:6">
      <c r="A38" s="481"/>
      <c r="B38" s="482"/>
      <c r="C38" s="483"/>
      <c r="D38" s="483" t="e">
        <f>+D25-D32</f>
        <v>#REF!</v>
      </c>
      <c r="E38" s="483"/>
      <c r="F38" s="484"/>
    </row>
    <row r="39" spans="1:6" ht="24.75" customHeight="1">
      <c r="A39" s="16" t="s">
        <v>276</v>
      </c>
      <c r="B39" s="1"/>
      <c r="C39" s="1"/>
      <c r="D39" s="1"/>
      <c r="E39" s="1"/>
      <c r="F39" s="1"/>
    </row>
    <row r="40" spans="1:6" ht="42" customHeight="1">
      <c r="A40" s="709" t="s">
        <v>465</v>
      </c>
      <c r="B40" s="709"/>
      <c r="C40" s="709"/>
      <c r="D40" s="709"/>
      <c r="E40" s="709"/>
      <c r="F40" s="709"/>
    </row>
    <row r="41" spans="1:6">
      <c r="A41" s="709" t="s">
        <v>464</v>
      </c>
      <c r="B41" s="709"/>
      <c r="C41" s="709"/>
      <c r="D41" s="709"/>
      <c r="E41" s="709"/>
      <c r="F41" s="709"/>
    </row>
  </sheetData>
  <customSheetViews>
    <customSheetView guid="{9F606621-8853-4836-9A7E-DBA5CF152671}" showPageBreaks="1">
      <selection activeCell="D18" sqref="D18"/>
      <pageMargins left="0.7" right="0.7" top="0.75" bottom="0.75" header="0.3" footer="0.3"/>
      <pageSetup orientation="portrait" r:id="rId1"/>
    </customSheetView>
    <customSheetView guid="{DB9039ED-C6EA-422D-9A5D-D152D95EDC67}" showPageBreaks="1" printArea="1" topLeftCell="A7">
      <selection activeCell="D38" sqref="D38"/>
      <pageMargins left="0.9055118110236221" right="0.51181102362204722" top="0.74803149606299213" bottom="0.74803149606299213" header="0.31496062992125984" footer="0.31496062992125984"/>
      <printOptions horizontalCentered="1"/>
      <pageSetup scale="95" orientation="portrait" blackAndWhite="1" r:id="rId2"/>
    </customSheetView>
  </customSheetViews>
  <mergeCells count="11">
    <mergeCell ref="A41:F41"/>
    <mergeCell ref="A5:A6"/>
    <mergeCell ref="B5:B6"/>
    <mergeCell ref="C5:C6"/>
    <mergeCell ref="D5:D6"/>
    <mergeCell ref="E5:F5"/>
    <mergeCell ref="A1:F1"/>
    <mergeCell ref="A2:F2"/>
    <mergeCell ref="A3:F3"/>
    <mergeCell ref="E4:F4"/>
    <mergeCell ref="A40:F40"/>
  </mergeCell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dimension ref="A1:N31"/>
  <sheetViews>
    <sheetView workbookViewId="0">
      <selection activeCell="G13" sqref="G13"/>
    </sheetView>
  </sheetViews>
  <sheetFormatPr defaultColWidth="6" defaultRowHeight="15"/>
  <cols>
    <col min="1" max="1" width="6" style="1"/>
    <col min="2" max="2" width="21" style="1" customWidth="1"/>
    <col min="3" max="3" width="10.42578125" style="1" customWidth="1"/>
    <col min="4" max="4" width="10.7109375" style="1" customWidth="1"/>
    <col min="5" max="5" width="10.5703125" style="1" customWidth="1"/>
    <col min="6" max="6" width="12.7109375" style="1" customWidth="1"/>
    <col min="7" max="7" width="11.85546875" style="1" customWidth="1"/>
    <col min="8" max="8" width="11" style="1" customWidth="1"/>
    <col min="9" max="9" width="11.85546875" style="1" customWidth="1"/>
    <col min="10" max="10" width="12.42578125" style="1" customWidth="1"/>
    <col min="11" max="11" width="9.85546875" style="256" customWidth="1"/>
    <col min="12" max="12" width="8.7109375" style="256" customWidth="1"/>
    <col min="13" max="13" width="8.85546875" style="256" customWidth="1"/>
    <col min="14" max="14" width="8.5703125" style="256" customWidth="1"/>
    <col min="15" max="16384" width="6" style="1"/>
  </cols>
  <sheetData>
    <row r="1" spans="1:14">
      <c r="A1" s="706" t="s">
        <v>466</v>
      </c>
      <c r="B1" s="706"/>
      <c r="C1" s="706"/>
      <c r="D1" s="706"/>
      <c r="E1" s="706"/>
      <c r="F1" s="706"/>
      <c r="G1" s="706"/>
      <c r="H1" s="706"/>
      <c r="I1" s="706"/>
      <c r="J1" s="706"/>
      <c r="K1" s="706"/>
      <c r="L1" s="706"/>
      <c r="M1" s="706"/>
      <c r="N1" s="706"/>
    </row>
    <row r="2" spans="1:14">
      <c r="A2" s="707" t="s">
        <v>1299</v>
      </c>
      <c r="B2" s="707"/>
      <c r="C2" s="707"/>
      <c r="D2" s="707"/>
      <c r="E2" s="707"/>
      <c r="F2" s="707"/>
      <c r="G2" s="707"/>
      <c r="H2" s="707"/>
      <c r="I2" s="707"/>
      <c r="J2" s="707"/>
      <c r="K2" s="707"/>
      <c r="L2" s="707"/>
      <c r="M2" s="707"/>
      <c r="N2" s="707"/>
    </row>
    <row r="3" spans="1:14">
      <c r="A3" s="707"/>
      <c r="B3" s="707"/>
      <c r="C3" s="707"/>
      <c r="D3" s="707"/>
      <c r="E3" s="707"/>
      <c r="F3" s="707"/>
      <c r="G3" s="707"/>
      <c r="H3" s="707"/>
      <c r="I3" s="707"/>
      <c r="J3" s="707"/>
      <c r="K3" s="707"/>
      <c r="L3" s="707"/>
      <c r="M3" s="707"/>
      <c r="N3" s="707"/>
    </row>
    <row r="4" spans="1:14">
      <c r="L4" s="756" t="s">
        <v>56</v>
      </c>
      <c r="M4" s="756"/>
      <c r="N4" s="756"/>
    </row>
    <row r="5" spans="1:14" ht="15" customHeight="1">
      <c r="A5" s="760" t="s">
        <v>3</v>
      </c>
      <c r="B5" s="760" t="s">
        <v>1288</v>
      </c>
      <c r="C5" s="763" t="s">
        <v>787</v>
      </c>
      <c r="D5" s="764"/>
      <c r="E5" s="764"/>
      <c r="F5" s="765"/>
      <c r="G5" s="763" t="s">
        <v>788</v>
      </c>
      <c r="H5" s="764"/>
      <c r="I5" s="764"/>
      <c r="J5" s="765"/>
      <c r="K5" s="766" t="s">
        <v>346</v>
      </c>
      <c r="L5" s="766"/>
      <c r="M5" s="766"/>
      <c r="N5" s="766"/>
    </row>
    <row r="6" spans="1:14" ht="15" customHeight="1">
      <c r="A6" s="761"/>
      <c r="B6" s="761"/>
      <c r="C6" s="760" t="s">
        <v>65</v>
      </c>
      <c r="D6" s="763" t="s">
        <v>162</v>
      </c>
      <c r="E6" s="764"/>
      <c r="F6" s="765"/>
      <c r="G6" s="760" t="s">
        <v>65</v>
      </c>
      <c r="H6" s="763" t="s">
        <v>162</v>
      </c>
      <c r="I6" s="764"/>
      <c r="J6" s="765"/>
      <c r="K6" s="767" t="s">
        <v>65</v>
      </c>
      <c r="L6" s="757" t="s">
        <v>162</v>
      </c>
      <c r="M6" s="758"/>
      <c r="N6" s="759"/>
    </row>
    <row r="7" spans="1:14" ht="15" customHeight="1">
      <c r="A7" s="761"/>
      <c r="B7" s="761"/>
      <c r="C7" s="761"/>
      <c r="D7" s="760" t="s">
        <v>931</v>
      </c>
      <c r="E7" s="760" t="s">
        <v>1070</v>
      </c>
      <c r="F7" s="760" t="s">
        <v>1077</v>
      </c>
      <c r="G7" s="761"/>
      <c r="H7" s="760" t="s">
        <v>931</v>
      </c>
      <c r="I7" s="760" t="s">
        <v>1070</v>
      </c>
      <c r="J7" s="760" t="s">
        <v>1077</v>
      </c>
      <c r="K7" s="769"/>
      <c r="L7" s="767" t="s">
        <v>931</v>
      </c>
      <c r="M7" s="767" t="s">
        <v>1070</v>
      </c>
      <c r="N7" s="767" t="s">
        <v>1077</v>
      </c>
    </row>
    <row r="8" spans="1:14" ht="86.25" customHeight="1">
      <c r="A8" s="762"/>
      <c r="B8" s="762"/>
      <c r="C8" s="762"/>
      <c r="D8" s="762"/>
      <c r="E8" s="762"/>
      <c r="F8" s="762"/>
      <c r="G8" s="762"/>
      <c r="H8" s="762"/>
      <c r="I8" s="762"/>
      <c r="J8" s="762"/>
      <c r="K8" s="768"/>
      <c r="L8" s="768"/>
      <c r="M8" s="768"/>
      <c r="N8" s="768"/>
    </row>
    <row r="9" spans="1:14">
      <c r="A9" s="24" t="s">
        <v>15</v>
      </c>
      <c r="B9" s="24" t="s">
        <v>16</v>
      </c>
      <c r="C9" s="24">
        <v>1</v>
      </c>
      <c r="D9" s="24">
        <v>2</v>
      </c>
      <c r="E9" s="24">
        <v>3</v>
      </c>
      <c r="F9" s="24">
        <v>4</v>
      </c>
      <c r="G9" s="24">
        <v>5</v>
      </c>
      <c r="H9" s="24">
        <v>6</v>
      </c>
      <c r="I9" s="24">
        <v>7</v>
      </c>
      <c r="J9" s="24">
        <v>8</v>
      </c>
      <c r="K9" s="24">
        <v>9</v>
      </c>
      <c r="L9" s="24">
        <v>10</v>
      </c>
      <c r="M9" s="24">
        <v>11</v>
      </c>
      <c r="N9" s="24">
        <v>12</v>
      </c>
    </row>
    <row r="10" spans="1:14" s="114" customFormat="1" ht="14.25">
      <c r="A10" s="55"/>
      <c r="B10" s="56" t="s">
        <v>1300</v>
      </c>
      <c r="C10" s="113">
        <f>SUM(C11:C25)</f>
        <v>2089600</v>
      </c>
      <c r="D10" s="113">
        <f>SUM(D11:D25)</f>
        <v>226500</v>
      </c>
      <c r="E10" s="113">
        <f t="shared" ref="E10:J10" si="0">SUM(E11:E25)</f>
        <v>864000</v>
      </c>
      <c r="F10" s="113">
        <f t="shared" si="0"/>
        <v>1863100</v>
      </c>
      <c r="G10" s="113" t="e">
        <f t="shared" si="0"/>
        <v>#REF!</v>
      </c>
      <c r="H10" s="113" t="e">
        <f t="shared" si="0"/>
        <v>#REF!</v>
      </c>
      <c r="I10" s="113" t="e">
        <f t="shared" si="0"/>
        <v>#REF!</v>
      </c>
      <c r="J10" s="113" t="e">
        <f t="shared" si="0"/>
        <v>#REF!</v>
      </c>
      <c r="K10" s="257" t="e">
        <f t="shared" ref="K10:K25" si="1">G10/C10</f>
        <v>#REF!</v>
      </c>
      <c r="L10" s="257" t="e">
        <f t="shared" ref="L10:L25" si="2">H10/D10</f>
        <v>#REF!</v>
      </c>
      <c r="M10" s="257" t="e">
        <f t="shared" ref="M10:N25" si="3">I10/E10</f>
        <v>#REF!</v>
      </c>
      <c r="N10" s="257" t="e">
        <f t="shared" si="3"/>
        <v>#REF!</v>
      </c>
    </row>
    <row r="11" spans="1:14" s="268" customFormat="1">
      <c r="A11" s="265">
        <v>1</v>
      </c>
      <c r="B11" s="266" t="s">
        <v>831</v>
      </c>
      <c r="C11" s="215">
        <v>445000</v>
      </c>
      <c r="D11" s="215">
        <v>22000</v>
      </c>
      <c r="E11" s="215">
        <v>196700</v>
      </c>
      <c r="F11" s="215">
        <f>C11-D11</f>
        <v>423000</v>
      </c>
      <c r="G11" s="215" t="e">
        <f>'21-DGthu H 2017'!D9</f>
        <v>#REF!</v>
      </c>
      <c r="H11" s="215" t="e">
        <f>'21-DGthu H 2017'!P9</f>
        <v>#REF!</v>
      </c>
      <c r="I11" s="215" t="e">
        <f>'21-DGthu H 2017'!H9</f>
        <v>#REF!</v>
      </c>
      <c r="J11" s="215" t="e">
        <f>G11-H11</f>
        <v>#REF!</v>
      </c>
      <c r="K11" s="267" t="e">
        <f t="shared" si="1"/>
        <v>#REF!</v>
      </c>
      <c r="L11" s="267" t="e">
        <f t="shared" si="2"/>
        <v>#REF!</v>
      </c>
      <c r="M11" s="267" t="e">
        <f>I11/E11</f>
        <v>#REF!</v>
      </c>
      <c r="N11" s="267" t="e">
        <f>J11/F11</f>
        <v>#REF!</v>
      </c>
    </row>
    <row r="12" spans="1:14" s="264" customFormat="1">
      <c r="A12" s="260">
        <v>2</v>
      </c>
      <c r="B12" s="261" t="s">
        <v>917</v>
      </c>
      <c r="C12" s="262">
        <v>71500</v>
      </c>
      <c r="D12" s="262">
        <v>17000</v>
      </c>
      <c r="E12" s="262">
        <v>20900</v>
      </c>
      <c r="F12" s="262">
        <f t="shared" ref="F12:F25" si="4">C12-D12</f>
        <v>54500</v>
      </c>
      <c r="G12" s="262" t="e">
        <f>'21-DGthu H 2017'!D10</f>
        <v>#REF!</v>
      </c>
      <c r="H12" s="262" t="e">
        <f>'21-DGthu H 2017'!P10</f>
        <v>#REF!</v>
      </c>
      <c r="I12" s="262" t="e">
        <f>'21-DGthu H 2017'!H10</f>
        <v>#REF!</v>
      </c>
      <c r="J12" s="262" t="e">
        <f t="shared" ref="J12:J25" si="5">G12-H12</f>
        <v>#REF!</v>
      </c>
      <c r="K12" s="263" t="e">
        <f t="shared" si="1"/>
        <v>#REF!</v>
      </c>
      <c r="L12" s="263" t="e">
        <f t="shared" si="2"/>
        <v>#REF!</v>
      </c>
      <c r="M12" s="263" t="e">
        <f t="shared" si="3"/>
        <v>#REF!</v>
      </c>
      <c r="N12" s="263" t="e">
        <f t="shared" si="3"/>
        <v>#REF!</v>
      </c>
    </row>
    <row r="13" spans="1:14" s="268" customFormat="1">
      <c r="A13" s="265">
        <v>3</v>
      </c>
      <c r="B13" s="266" t="s">
        <v>918</v>
      </c>
      <c r="C13" s="215">
        <v>380000</v>
      </c>
      <c r="D13" s="215">
        <v>32000</v>
      </c>
      <c r="E13" s="215">
        <v>190800</v>
      </c>
      <c r="F13" s="215">
        <f t="shared" si="4"/>
        <v>348000</v>
      </c>
      <c r="G13" s="215" t="e">
        <f>'21-DGthu H 2017'!D11</f>
        <v>#REF!</v>
      </c>
      <c r="H13" s="215" t="e">
        <f>'21-DGthu H 2017'!P11</f>
        <v>#REF!</v>
      </c>
      <c r="I13" s="215" t="e">
        <f>'21-DGthu H 2017'!H11</f>
        <v>#REF!</v>
      </c>
      <c r="J13" s="215" t="e">
        <f t="shared" si="5"/>
        <v>#REF!</v>
      </c>
      <c r="K13" s="267" t="e">
        <f t="shared" si="1"/>
        <v>#REF!</v>
      </c>
      <c r="L13" s="267" t="e">
        <f t="shared" si="2"/>
        <v>#REF!</v>
      </c>
      <c r="M13" s="267" t="e">
        <f t="shared" si="3"/>
        <v>#REF!</v>
      </c>
      <c r="N13" s="267" t="e">
        <f t="shared" si="3"/>
        <v>#REF!</v>
      </c>
    </row>
    <row r="14" spans="1:14" s="268" customFormat="1">
      <c r="A14" s="265">
        <v>4</v>
      </c>
      <c r="B14" s="266" t="s">
        <v>919</v>
      </c>
      <c r="C14" s="215">
        <v>79000</v>
      </c>
      <c r="D14" s="215">
        <v>9500</v>
      </c>
      <c r="E14" s="215">
        <v>29200</v>
      </c>
      <c r="F14" s="215">
        <f t="shared" si="4"/>
        <v>69500</v>
      </c>
      <c r="G14" s="215" t="e">
        <f>'21-DGthu H 2017'!D12</f>
        <v>#REF!</v>
      </c>
      <c r="H14" s="215" t="e">
        <f>'21-DGthu H 2017'!P12</f>
        <v>#REF!</v>
      </c>
      <c r="I14" s="215" t="e">
        <f>'21-DGthu H 2017'!H12</f>
        <v>#REF!</v>
      </c>
      <c r="J14" s="215" t="e">
        <f t="shared" si="5"/>
        <v>#REF!</v>
      </c>
      <c r="K14" s="267" t="e">
        <f t="shared" si="1"/>
        <v>#REF!</v>
      </c>
      <c r="L14" s="267" t="e">
        <f t="shared" si="2"/>
        <v>#REF!</v>
      </c>
      <c r="M14" s="267" t="e">
        <f t="shared" si="3"/>
        <v>#REF!</v>
      </c>
      <c r="N14" s="267" t="e">
        <f t="shared" si="3"/>
        <v>#REF!</v>
      </c>
    </row>
    <row r="15" spans="1:14" s="268" customFormat="1">
      <c r="A15" s="265">
        <v>5</v>
      </c>
      <c r="B15" s="266" t="s">
        <v>920</v>
      </c>
      <c r="C15" s="215">
        <v>34000</v>
      </c>
      <c r="D15" s="215">
        <v>3000</v>
      </c>
      <c r="E15" s="215">
        <v>12100</v>
      </c>
      <c r="F15" s="215">
        <f t="shared" si="4"/>
        <v>31000</v>
      </c>
      <c r="G15" s="215" t="e">
        <f>'21-DGthu H 2017'!D13</f>
        <v>#REF!</v>
      </c>
      <c r="H15" s="215" t="e">
        <f>'21-DGthu H 2017'!P13</f>
        <v>#REF!</v>
      </c>
      <c r="I15" s="215" t="e">
        <f>'21-DGthu H 2017'!H13</f>
        <v>#REF!</v>
      </c>
      <c r="J15" s="215" t="e">
        <f t="shared" si="5"/>
        <v>#REF!</v>
      </c>
      <c r="K15" s="267" t="e">
        <f t="shared" si="1"/>
        <v>#REF!</v>
      </c>
      <c r="L15" s="267" t="e">
        <f t="shared" si="2"/>
        <v>#REF!</v>
      </c>
      <c r="M15" s="267" t="e">
        <f t="shared" si="3"/>
        <v>#REF!</v>
      </c>
      <c r="N15" s="267" t="e">
        <f t="shared" si="3"/>
        <v>#REF!</v>
      </c>
    </row>
    <row r="16" spans="1:14" s="268" customFormat="1">
      <c r="A16" s="265">
        <v>6</v>
      </c>
      <c r="B16" s="266" t="s">
        <v>921</v>
      </c>
      <c r="C16" s="215">
        <v>66600</v>
      </c>
      <c r="D16" s="215">
        <v>5000</v>
      </c>
      <c r="E16" s="215">
        <v>22000</v>
      </c>
      <c r="F16" s="215">
        <f t="shared" si="4"/>
        <v>61600</v>
      </c>
      <c r="G16" s="215" t="e">
        <f>'21-DGthu H 2017'!D14</f>
        <v>#REF!</v>
      </c>
      <c r="H16" s="215" t="e">
        <f>'21-DGthu H 2017'!P14</f>
        <v>#REF!</v>
      </c>
      <c r="I16" s="215" t="e">
        <f>'21-DGthu H 2017'!H14</f>
        <v>#REF!</v>
      </c>
      <c r="J16" s="215" t="e">
        <f t="shared" si="5"/>
        <v>#REF!</v>
      </c>
      <c r="K16" s="267" t="e">
        <f t="shared" si="1"/>
        <v>#REF!</v>
      </c>
      <c r="L16" s="267" t="e">
        <f t="shared" si="2"/>
        <v>#REF!</v>
      </c>
      <c r="M16" s="267" t="e">
        <f t="shared" si="3"/>
        <v>#REF!</v>
      </c>
      <c r="N16" s="267" t="e">
        <f t="shared" si="3"/>
        <v>#REF!</v>
      </c>
    </row>
    <row r="17" spans="1:14" s="268" customFormat="1">
      <c r="A17" s="265">
        <v>7</v>
      </c>
      <c r="B17" s="266" t="s">
        <v>922</v>
      </c>
      <c r="C17" s="215">
        <v>400000</v>
      </c>
      <c r="D17" s="215">
        <v>61000</v>
      </c>
      <c r="E17" s="215">
        <v>155000</v>
      </c>
      <c r="F17" s="215">
        <f t="shared" si="4"/>
        <v>339000</v>
      </c>
      <c r="G17" s="215" t="e">
        <f>'21-DGthu H 2017'!D15</f>
        <v>#REF!</v>
      </c>
      <c r="H17" s="215" t="e">
        <f>'21-DGthu H 2017'!P15</f>
        <v>#REF!</v>
      </c>
      <c r="I17" s="215" t="e">
        <f>'21-DGthu H 2017'!H15</f>
        <v>#REF!</v>
      </c>
      <c r="J17" s="215" t="e">
        <f t="shared" si="5"/>
        <v>#REF!</v>
      </c>
      <c r="K17" s="267" t="e">
        <f t="shared" si="1"/>
        <v>#REF!</v>
      </c>
      <c r="L17" s="267" t="e">
        <f t="shared" si="2"/>
        <v>#REF!</v>
      </c>
      <c r="M17" s="267" t="e">
        <f t="shared" si="3"/>
        <v>#REF!</v>
      </c>
      <c r="N17" s="267" t="e">
        <f t="shared" si="3"/>
        <v>#REF!</v>
      </c>
    </row>
    <row r="18" spans="1:14" s="268" customFormat="1">
      <c r="A18" s="265">
        <v>8</v>
      </c>
      <c r="B18" s="266" t="s">
        <v>923</v>
      </c>
      <c r="C18" s="215">
        <v>46400</v>
      </c>
      <c r="D18" s="215">
        <v>5000</v>
      </c>
      <c r="E18" s="215">
        <v>16300</v>
      </c>
      <c r="F18" s="215">
        <f t="shared" si="4"/>
        <v>41400</v>
      </c>
      <c r="G18" s="215" t="e">
        <f>'21-DGthu H 2017'!D16</f>
        <v>#REF!</v>
      </c>
      <c r="H18" s="215" t="e">
        <f>'21-DGthu H 2017'!P16</f>
        <v>#REF!</v>
      </c>
      <c r="I18" s="215" t="e">
        <f>'21-DGthu H 2017'!H16</f>
        <v>#REF!</v>
      </c>
      <c r="J18" s="215" t="e">
        <f t="shared" si="5"/>
        <v>#REF!</v>
      </c>
      <c r="K18" s="267" t="e">
        <f t="shared" si="1"/>
        <v>#REF!</v>
      </c>
      <c r="L18" s="267" t="e">
        <f t="shared" si="2"/>
        <v>#REF!</v>
      </c>
      <c r="M18" s="267" t="e">
        <f t="shared" si="3"/>
        <v>#REF!</v>
      </c>
      <c r="N18" s="267" t="e">
        <f t="shared" si="3"/>
        <v>#REF!</v>
      </c>
    </row>
    <row r="19" spans="1:14" s="268" customFormat="1">
      <c r="A19" s="265">
        <v>9</v>
      </c>
      <c r="B19" s="266" t="s">
        <v>924</v>
      </c>
      <c r="C19" s="215">
        <v>159000</v>
      </c>
      <c r="D19" s="215">
        <v>22000</v>
      </c>
      <c r="E19" s="215">
        <v>67000</v>
      </c>
      <c r="F19" s="215">
        <f t="shared" si="4"/>
        <v>137000</v>
      </c>
      <c r="G19" s="215" t="e">
        <f>'21-DGthu H 2017'!D17</f>
        <v>#REF!</v>
      </c>
      <c r="H19" s="215" t="e">
        <f>'21-DGthu H 2017'!P17</f>
        <v>#REF!</v>
      </c>
      <c r="I19" s="215" t="e">
        <f>'21-DGthu H 2017'!H17</f>
        <v>#REF!</v>
      </c>
      <c r="J19" s="215" t="e">
        <f t="shared" si="5"/>
        <v>#REF!</v>
      </c>
      <c r="K19" s="267" t="e">
        <f t="shared" si="1"/>
        <v>#REF!</v>
      </c>
      <c r="L19" s="267" t="e">
        <f t="shared" si="2"/>
        <v>#REF!</v>
      </c>
      <c r="M19" s="267" t="e">
        <f t="shared" si="3"/>
        <v>#REF!</v>
      </c>
      <c r="N19" s="267" t="e">
        <f t="shared" si="3"/>
        <v>#REF!</v>
      </c>
    </row>
    <row r="20" spans="1:14" s="268" customFormat="1">
      <c r="A20" s="265">
        <v>10</v>
      </c>
      <c r="B20" s="266" t="s">
        <v>925</v>
      </c>
      <c r="C20" s="215">
        <v>200000</v>
      </c>
      <c r="D20" s="215">
        <v>20000</v>
      </c>
      <c r="E20" s="215">
        <v>86550</v>
      </c>
      <c r="F20" s="215">
        <f t="shared" si="4"/>
        <v>180000</v>
      </c>
      <c r="G20" s="215" t="e">
        <f>'21-DGthu H 2017'!D18</f>
        <v>#REF!</v>
      </c>
      <c r="H20" s="215" t="e">
        <f>'21-DGthu H 2017'!P18</f>
        <v>#REF!</v>
      </c>
      <c r="I20" s="215" t="e">
        <f>'21-DGthu H 2017'!H18</f>
        <v>#REF!</v>
      </c>
      <c r="J20" s="215" t="e">
        <f t="shared" si="5"/>
        <v>#REF!</v>
      </c>
      <c r="K20" s="267" t="e">
        <f t="shared" si="1"/>
        <v>#REF!</v>
      </c>
      <c r="L20" s="267" t="e">
        <f t="shared" si="2"/>
        <v>#REF!</v>
      </c>
      <c r="M20" s="267" t="e">
        <f t="shared" si="3"/>
        <v>#REF!</v>
      </c>
      <c r="N20" s="267" t="e">
        <f t="shared" si="3"/>
        <v>#REF!</v>
      </c>
    </row>
    <row r="21" spans="1:14" s="268" customFormat="1">
      <c r="A21" s="265">
        <v>11</v>
      </c>
      <c r="B21" s="266" t="s">
        <v>926</v>
      </c>
      <c r="C21" s="215">
        <v>49500</v>
      </c>
      <c r="D21" s="215">
        <v>8000</v>
      </c>
      <c r="E21" s="215">
        <v>15100</v>
      </c>
      <c r="F21" s="215">
        <f t="shared" si="4"/>
        <v>41500</v>
      </c>
      <c r="G21" s="215" t="e">
        <f>'21-DGthu H 2017'!D19</f>
        <v>#REF!</v>
      </c>
      <c r="H21" s="215" t="e">
        <f>'21-DGthu H 2017'!P19</f>
        <v>#REF!</v>
      </c>
      <c r="I21" s="215" t="e">
        <f>'21-DGthu H 2017'!H19</f>
        <v>#REF!</v>
      </c>
      <c r="J21" s="215" t="e">
        <f t="shared" si="5"/>
        <v>#REF!</v>
      </c>
      <c r="K21" s="267" t="e">
        <f t="shared" si="1"/>
        <v>#REF!</v>
      </c>
      <c r="L21" s="267" t="e">
        <f t="shared" si="2"/>
        <v>#REF!</v>
      </c>
      <c r="M21" s="267" t="e">
        <f t="shared" si="3"/>
        <v>#REF!</v>
      </c>
      <c r="N21" s="267" t="e">
        <f t="shared" si="3"/>
        <v>#REF!</v>
      </c>
    </row>
    <row r="22" spans="1:14" s="268" customFormat="1">
      <c r="A22" s="265">
        <v>12</v>
      </c>
      <c r="B22" s="266" t="s">
        <v>927</v>
      </c>
      <c r="C22" s="215">
        <v>56200</v>
      </c>
      <c r="D22" s="215">
        <v>5500</v>
      </c>
      <c r="E22" s="215">
        <v>21200</v>
      </c>
      <c r="F22" s="215">
        <f t="shared" si="4"/>
        <v>50700</v>
      </c>
      <c r="G22" s="215" t="e">
        <f>'21-DGthu H 2017'!D20</f>
        <v>#REF!</v>
      </c>
      <c r="H22" s="215" t="e">
        <f>'21-DGthu H 2017'!P20</f>
        <v>#REF!</v>
      </c>
      <c r="I22" s="215" t="e">
        <f>'21-DGthu H 2017'!H20</f>
        <v>#REF!</v>
      </c>
      <c r="J22" s="215" t="e">
        <f t="shared" si="5"/>
        <v>#REF!</v>
      </c>
      <c r="K22" s="267" t="e">
        <f t="shared" si="1"/>
        <v>#REF!</v>
      </c>
      <c r="L22" s="267" t="e">
        <f t="shared" si="2"/>
        <v>#REF!</v>
      </c>
      <c r="M22" s="267" t="e">
        <f t="shared" si="3"/>
        <v>#REF!</v>
      </c>
      <c r="N22" s="267" t="e">
        <f t="shared" si="3"/>
        <v>#REF!</v>
      </c>
    </row>
    <row r="23" spans="1:14" s="268" customFormat="1">
      <c r="A23" s="265">
        <v>13</v>
      </c>
      <c r="B23" s="266" t="s">
        <v>928</v>
      </c>
      <c r="C23" s="215">
        <v>19300</v>
      </c>
      <c r="D23" s="215">
        <v>4000</v>
      </c>
      <c r="E23" s="215">
        <v>7000</v>
      </c>
      <c r="F23" s="215">
        <f t="shared" si="4"/>
        <v>15300</v>
      </c>
      <c r="G23" s="215" t="e">
        <f>'21-DGthu H 2017'!D21</f>
        <v>#REF!</v>
      </c>
      <c r="H23" s="215" t="e">
        <f>'21-DGthu H 2017'!P21</f>
        <v>#REF!</v>
      </c>
      <c r="I23" s="215" t="e">
        <f>'21-DGthu H 2017'!H21</f>
        <v>#REF!</v>
      </c>
      <c r="J23" s="215" t="e">
        <f t="shared" si="5"/>
        <v>#REF!</v>
      </c>
      <c r="K23" s="267" t="e">
        <f t="shared" si="1"/>
        <v>#REF!</v>
      </c>
      <c r="L23" s="267" t="e">
        <f t="shared" si="2"/>
        <v>#REF!</v>
      </c>
      <c r="M23" s="267" t="e">
        <f t="shared" si="3"/>
        <v>#REF!</v>
      </c>
      <c r="N23" s="267" t="e">
        <f t="shared" si="3"/>
        <v>#REF!</v>
      </c>
    </row>
    <row r="24" spans="1:14" s="268" customFormat="1">
      <c r="A24" s="265">
        <v>14</v>
      </c>
      <c r="B24" s="266" t="s">
        <v>929</v>
      </c>
      <c r="C24" s="215">
        <v>43200</v>
      </c>
      <c r="D24" s="215">
        <v>5500</v>
      </c>
      <c r="E24" s="215">
        <v>13450</v>
      </c>
      <c r="F24" s="215">
        <f t="shared" si="4"/>
        <v>37700</v>
      </c>
      <c r="G24" s="215" t="e">
        <f>'21-DGthu H 2017'!D22</f>
        <v>#REF!</v>
      </c>
      <c r="H24" s="215" t="e">
        <f>'21-DGthu H 2017'!P22</f>
        <v>#REF!</v>
      </c>
      <c r="I24" s="215" t="e">
        <f>'21-DGthu H 2017'!H22</f>
        <v>#REF!</v>
      </c>
      <c r="J24" s="215" t="e">
        <f t="shared" si="5"/>
        <v>#REF!</v>
      </c>
      <c r="K24" s="267" t="e">
        <f t="shared" si="1"/>
        <v>#REF!</v>
      </c>
      <c r="L24" s="267" t="e">
        <f t="shared" si="2"/>
        <v>#REF!</v>
      </c>
      <c r="M24" s="267" t="e">
        <f t="shared" si="3"/>
        <v>#REF!</v>
      </c>
      <c r="N24" s="267" t="e">
        <f t="shared" si="3"/>
        <v>#REF!</v>
      </c>
    </row>
    <row r="25" spans="1:14" s="268" customFormat="1">
      <c r="A25" s="265">
        <v>15</v>
      </c>
      <c r="B25" s="266" t="s">
        <v>930</v>
      </c>
      <c r="C25" s="215">
        <v>39900</v>
      </c>
      <c r="D25" s="215">
        <v>7000</v>
      </c>
      <c r="E25" s="215">
        <v>10700</v>
      </c>
      <c r="F25" s="215">
        <f t="shared" si="4"/>
        <v>32900</v>
      </c>
      <c r="G25" s="215" t="e">
        <f>'21-DGthu H 2017'!D23</f>
        <v>#REF!</v>
      </c>
      <c r="H25" s="215" t="e">
        <f>'21-DGthu H 2017'!P23</f>
        <v>#REF!</v>
      </c>
      <c r="I25" s="215" t="e">
        <f>'21-DGthu H 2017'!H23</f>
        <v>#REF!</v>
      </c>
      <c r="J25" s="215" t="e">
        <f t="shared" si="5"/>
        <v>#REF!</v>
      </c>
      <c r="K25" s="267" t="e">
        <f t="shared" si="1"/>
        <v>#REF!</v>
      </c>
      <c r="L25" s="267" t="e">
        <f t="shared" si="2"/>
        <v>#REF!</v>
      </c>
      <c r="M25" s="267" t="e">
        <f t="shared" si="3"/>
        <v>#REF!</v>
      </c>
      <c r="N25" s="267" t="e">
        <f t="shared" si="3"/>
        <v>#REF!</v>
      </c>
    </row>
    <row r="26" spans="1:14" s="273" customFormat="1" ht="14.25">
      <c r="A26" s="269"/>
      <c r="B26" s="270" t="s">
        <v>1075</v>
      </c>
      <c r="C26" s="271">
        <v>7410400</v>
      </c>
      <c r="D26" s="271">
        <v>23500</v>
      </c>
      <c r="E26" s="271">
        <v>2237050</v>
      </c>
      <c r="F26" s="271">
        <f>C26-D26-1120000</f>
        <v>6266900</v>
      </c>
      <c r="G26" s="271">
        <v>7418500</v>
      </c>
      <c r="H26" s="271">
        <v>115000</v>
      </c>
      <c r="I26" s="271">
        <v>1808150</v>
      </c>
      <c r="J26" s="271">
        <f>G26-H26-1200000</f>
        <v>6103500</v>
      </c>
      <c r="K26" s="272">
        <f t="shared" ref="K26:K27" si="6">G26/C26</f>
        <v>1.0010930584044047</v>
      </c>
      <c r="L26" s="272">
        <f t="shared" ref="L26:L27" si="7">H26/D26</f>
        <v>4.8936170212765955</v>
      </c>
      <c r="M26" s="272">
        <f t="shared" ref="M26:M27" si="8">I26/E26</f>
        <v>0.80827428980130078</v>
      </c>
      <c r="N26" s="272">
        <f t="shared" ref="N26:N27" si="9">J26/F26</f>
        <v>0.9739265027366002</v>
      </c>
    </row>
    <row r="27" spans="1:14" s="114" customFormat="1" ht="14.25">
      <c r="A27" s="251"/>
      <c r="B27" s="252" t="s">
        <v>1076</v>
      </c>
      <c r="C27" s="110">
        <f>C10+C26</f>
        <v>9500000</v>
      </c>
      <c r="D27" s="110">
        <f t="shared" ref="D27:J27" si="10">D10+D26</f>
        <v>250000</v>
      </c>
      <c r="E27" s="110">
        <f t="shared" si="10"/>
        <v>3101050</v>
      </c>
      <c r="F27" s="110">
        <f t="shared" si="10"/>
        <v>8130000</v>
      </c>
      <c r="G27" s="110" t="e">
        <f t="shared" si="10"/>
        <v>#REF!</v>
      </c>
      <c r="H27" s="110" t="e">
        <f t="shared" si="10"/>
        <v>#REF!</v>
      </c>
      <c r="I27" s="110" t="e">
        <f t="shared" si="10"/>
        <v>#REF!</v>
      </c>
      <c r="J27" s="110" t="e">
        <f t="shared" si="10"/>
        <v>#REF!</v>
      </c>
      <c r="K27" s="258" t="e">
        <f t="shared" si="6"/>
        <v>#REF!</v>
      </c>
      <c r="L27" s="258" t="e">
        <f t="shared" si="7"/>
        <v>#REF!</v>
      </c>
      <c r="M27" s="258" t="e">
        <f t="shared" si="8"/>
        <v>#REF!</v>
      </c>
      <c r="N27" s="258" t="e">
        <f t="shared" si="9"/>
        <v>#REF!</v>
      </c>
    </row>
    <row r="28" spans="1:14">
      <c r="A28" s="65"/>
      <c r="B28" s="70"/>
      <c r="C28" s="70"/>
      <c r="D28" s="70"/>
      <c r="E28" s="70"/>
      <c r="F28" s="70"/>
      <c r="G28" s="70"/>
      <c r="H28" s="70"/>
      <c r="I28" s="70"/>
      <c r="J28" s="70"/>
      <c r="K28" s="259"/>
      <c r="L28" s="259"/>
      <c r="M28" s="259"/>
      <c r="N28" s="259"/>
    </row>
    <row r="29" spans="1:14" ht="27" customHeight="1">
      <c r="A29" s="16" t="s">
        <v>476</v>
      </c>
    </row>
    <row r="30" spans="1:14" s="17" customFormat="1" ht="36" customHeight="1">
      <c r="A30" s="709" t="s">
        <v>477</v>
      </c>
      <c r="B30" s="709"/>
      <c r="C30" s="709"/>
      <c r="D30" s="709"/>
      <c r="E30" s="709"/>
      <c r="F30" s="709"/>
      <c r="G30" s="709"/>
      <c r="H30" s="709"/>
      <c r="I30" s="709"/>
      <c r="J30" s="709"/>
      <c r="K30" s="709"/>
      <c r="L30" s="709"/>
      <c r="M30" s="709"/>
      <c r="N30" s="709"/>
    </row>
    <row r="31" spans="1:14" s="17" customFormat="1" ht="36" customHeight="1">
      <c r="A31" s="709" t="s">
        <v>475</v>
      </c>
      <c r="B31" s="709"/>
      <c r="C31" s="709"/>
      <c r="D31" s="709"/>
      <c r="E31" s="709"/>
      <c r="F31" s="709"/>
      <c r="G31" s="709"/>
      <c r="H31" s="709"/>
      <c r="I31" s="709"/>
      <c r="J31" s="709"/>
      <c r="K31" s="709"/>
      <c r="L31" s="709"/>
      <c r="M31" s="709"/>
      <c r="N31" s="709"/>
    </row>
  </sheetData>
  <customSheetViews>
    <customSheetView guid="{9F606621-8853-4836-9A7E-DBA5CF152671}" showPageBreaks="1">
      <selection activeCell="G13" sqref="G13"/>
      <pageMargins left="0.70866141732283472" right="0.31496062992125984" top="0.74803149606299213" bottom="0.74803149606299213" header="0.31496062992125984" footer="0.31496062992125984"/>
      <pageSetup paperSize="9" scale="85" orientation="landscape" r:id="rId1"/>
    </customSheetView>
    <customSheetView guid="{DB9039ED-C6EA-422D-9A5D-D152D95EDC67}" showPageBreaks="1" printArea="1" hiddenRows="1">
      <selection sqref="A1:N1"/>
      <pageMargins left="0.70866141732283472" right="0.31496062992125984" top="0.74803149606299213" bottom="0.74803149606299213" header="0.31496062992125984" footer="0.31496062992125984"/>
      <pageSetup paperSize="9" scale="85" orientation="landscape" blackAndWhite="1" r:id="rId2"/>
    </customSheetView>
  </customSheetViews>
  <mergeCells count="26">
    <mergeCell ref="N7:N8"/>
    <mergeCell ref="H7:H8"/>
    <mergeCell ref="I7:I8"/>
    <mergeCell ref="J7:J8"/>
    <mergeCell ref="L7:L8"/>
    <mergeCell ref="E7:E8"/>
    <mergeCell ref="F7:F8"/>
    <mergeCell ref="M7:M8"/>
    <mergeCell ref="H6:J6"/>
    <mergeCell ref="K6:K8"/>
    <mergeCell ref="A30:N30"/>
    <mergeCell ref="A31:N31"/>
    <mergeCell ref="A1:N1"/>
    <mergeCell ref="A2:N2"/>
    <mergeCell ref="A3:N3"/>
    <mergeCell ref="L4:N4"/>
    <mergeCell ref="L6:N6"/>
    <mergeCell ref="A5:A8"/>
    <mergeCell ref="B5:B8"/>
    <mergeCell ref="C5:F5"/>
    <mergeCell ref="G5:J5"/>
    <mergeCell ref="K5:N5"/>
    <mergeCell ref="C6:C8"/>
    <mergeCell ref="D6:F6"/>
    <mergeCell ref="G6:G8"/>
    <mergeCell ref="D7:D8"/>
  </mergeCells>
  <pageMargins left="0.70866141732283472" right="0.31496062992125984" top="0.74803149606299213" bottom="0.74803149606299213" header="0.31496062992125984" footer="0.31496062992125984"/>
  <pageSetup paperSize="9" scale="85" orientation="landscape" r:id="rId3"/>
</worksheet>
</file>

<file path=xl/worksheets/sheet22.xml><?xml version="1.0" encoding="utf-8"?>
<worksheet xmlns="http://schemas.openxmlformats.org/spreadsheetml/2006/main" xmlns:r="http://schemas.openxmlformats.org/officeDocument/2006/relationships">
  <dimension ref="A1:BA75"/>
  <sheetViews>
    <sheetView topLeftCell="A4" zoomScaleNormal="85" workbookViewId="0">
      <selection activeCell="J11" sqref="J11"/>
    </sheetView>
  </sheetViews>
  <sheetFormatPr defaultColWidth="9.140625" defaultRowHeight="14.25" customHeight="1"/>
  <cols>
    <col min="1" max="1" width="6.140625" style="1" customWidth="1"/>
    <col min="2" max="2" width="24.85546875" style="1" customWidth="1"/>
    <col min="3" max="3" width="10.140625" style="1" bestFit="1" customWidth="1"/>
    <col min="4" max="4" width="10.85546875" style="1" customWidth="1"/>
    <col min="5" max="7" width="9.140625" style="1" customWidth="1"/>
    <col min="8" max="8" width="9.140625" style="1"/>
    <col min="9" max="15" width="9.140625" style="1" customWidth="1"/>
    <col min="16" max="16" width="9.140625" style="1"/>
    <col min="17" max="23" width="9.140625" style="1" customWidth="1"/>
    <col min="24" max="29" width="9.140625" style="1" hidden="1" customWidth="1"/>
    <col min="30" max="30" width="9.140625" style="1" customWidth="1"/>
    <col min="31" max="32" width="10.140625" style="105" customWidth="1"/>
    <col min="33" max="42" width="9.28515625" style="105" customWidth="1"/>
    <col min="43" max="43" width="9.28515625" style="250" customWidth="1"/>
    <col min="44" max="44" width="9.28515625" style="105" customWidth="1"/>
    <col min="45" max="46" width="10.7109375" style="105" customWidth="1"/>
    <col min="47" max="47" width="10.42578125" style="1" customWidth="1"/>
    <col min="48" max="48" width="12" style="1" customWidth="1"/>
    <col min="49" max="52" width="9.140625" style="1" customWidth="1"/>
    <col min="53" max="16384" width="9.140625" style="1"/>
  </cols>
  <sheetData>
    <row r="1" spans="1:53" ht="14.25" customHeight="1">
      <c r="A1" s="706" t="s">
        <v>478</v>
      </c>
      <c r="B1" s="706"/>
      <c r="C1" s="706"/>
      <c r="D1" s="706"/>
      <c r="E1" s="706"/>
      <c r="F1" s="706"/>
      <c r="G1" s="706"/>
      <c r="H1" s="706"/>
      <c r="I1" s="706"/>
      <c r="J1" s="706"/>
      <c r="K1" s="706"/>
      <c r="L1" s="706"/>
      <c r="M1" s="706"/>
      <c r="N1" s="706"/>
      <c r="O1" s="706"/>
      <c r="P1" s="706"/>
      <c r="Q1" s="706"/>
      <c r="R1" s="706"/>
      <c r="S1" s="706"/>
      <c r="T1" s="706"/>
      <c r="U1" s="706"/>
      <c r="V1" s="706"/>
      <c r="W1" s="706"/>
      <c r="X1" s="706"/>
      <c r="Y1" s="706"/>
      <c r="Z1" s="706"/>
      <c r="AA1" s="706"/>
      <c r="AB1" s="706"/>
      <c r="AC1" s="706"/>
    </row>
    <row r="2" spans="1:53" ht="34.5" customHeight="1">
      <c r="A2" s="701" t="s">
        <v>832</v>
      </c>
      <c r="B2" s="701"/>
      <c r="C2" s="701"/>
      <c r="D2" s="701"/>
      <c r="E2" s="701"/>
      <c r="F2" s="701"/>
      <c r="G2" s="701"/>
      <c r="H2" s="701"/>
      <c r="I2" s="701"/>
      <c r="J2" s="701"/>
      <c r="K2" s="701"/>
      <c r="L2" s="701"/>
      <c r="M2" s="701"/>
      <c r="N2" s="701"/>
      <c r="O2" s="701"/>
      <c r="P2" s="701"/>
      <c r="Q2" s="701"/>
      <c r="R2" s="701"/>
      <c r="S2" s="701"/>
      <c r="T2" s="701"/>
      <c r="U2" s="701"/>
      <c r="V2" s="701"/>
      <c r="W2" s="701"/>
      <c r="X2" s="701"/>
      <c r="Y2" s="701"/>
      <c r="Z2" s="701"/>
      <c r="AA2" s="701"/>
      <c r="AB2" s="701"/>
      <c r="AC2" s="701"/>
    </row>
    <row r="3" spans="1:53" ht="18.75" customHeight="1">
      <c r="A3" s="707"/>
      <c r="B3" s="707"/>
      <c r="C3" s="707"/>
      <c r="D3" s="707"/>
      <c r="E3" s="707"/>
      <c r="F3" s="707"/>
      <c r="G3" s="707"/>
      <c r="H3" s="707"/>
      <c r="I3" s="707"/>
      <c r="J3" s="707"/>
      <c r="K3" s="707"/>
      <c r="L3" s="707"/>
      <c r="M3" s="707"/>
      <c r="N3" s="707"/>
      <c r="O3" s="707"/>
      <c r="P3" s="707"/>
      <c r="Q3" s="707"/>
      <c r="R3" s="707"/>
      <c r="S3" s="707"/>
      <c r="T3" s="707"/>
      <c r="U3" s="707"/>
      <c r="V3" s="707"/>
      <c r="W3" s="707"/>
      <c r="X3" s="707"/>
      <c r="Y3" s="707"/>
      <c r="Z3" s="707"/>
      <c r="AA3" s="707"/>
      <c r="AB3" s="707"/>
      <c r="AC3" s="707"/>
    </row>
    <row r="4" spans="1:53" ht="14.25" customHeight="1">
      <c r="U4" s="708" t="s">
        <v>56</v>
      </c>
      <c r="V4" s="708"/>
      <c r="W4" s="708"/>
      <c r="AA4" s="708"/>
      <c r="AB4" s="708"/>
      <c r="AC4" s="708"/>
    </row>
    <row r="5" spans="1:53" s="17" customFormat="1" ht="14.25" customHeight="1">
      <c r="A5" s="705" t="s">
        <v>3</v>
      </c>
      <c r="B5" s="705" t="s">
        <v>467</v>
      </c>
      <c r="C5" s="705" t="s">
        <v>479</v>
      </c>
      <c r="D5" s="705" t="s">
        <v>489</v>
      </c>
      <c r="E5" s="705" t="s">
        <v>468</v>
      </c>
      <c r="F5" s="705"/>
      <c r="G5" s="705"/>
      <c r="H5" s="705"/>
      <c r="I5" s="705"/>
      <c r="J5" s="705"/>
      <c r="K5" s="705"/>
      <c r="L5" s="705"/>
      <c r="M5" s="705"/>
      <c r="N5" s="705"/>
      <c r="O5" s="705"/>
      <c r="P5" s="705"/>
      <c r="Q5" s="705"/>
      <c r="R5" s="705"/>
      <c r="S5" s="705"/>
      <c r="T5" s="705"/>
      <c r="U5" s="705"/>
      <c r="V5" s="705" t="s">
        <v>490</v>
      </c>
      <c r="W5" s="705" t="s">
        <v>491</v>
      </c>
      <c r="X5" s="705" t="s">
        <v>468</v>
      </c>
      <c r="Y5" s="705"/>
      <c r="Z5" s="705"/>
      <c r="AA5" s="705"/>
      <c r="AB5" s="705"/>
      <c r="AC5" s="705"/>
      <c r="AE5" s="770" t="s">
        <v>1073</v>
      </c>
      <c r="AF5" s="770"/>
      <c r="AG5" s="178"/>
      <c r="AH5" s="770" t="s">
        <v>947</v>
      </c>
      <c r="AI5" s="770"/>
      <c r="AJ5" s="770"/>
      <c r="AK5" s="770"/>
      <c r="AL5" s="770" t="s">
        <v>948</v>
      </c>
      <c r="AM5" s="770"/>
      <c r="AN5" s="770"/>
      <c r="AO5" s="770"/>
      <c r="AP5" s="770"/>
      <c r="AQ5" s="771" t="s">
        <v>1118</v>
      </c>
      <c r="AR5" s="770" t="s">
        <v>950</v>
      </c>
      <c r="AS5" s="771" t="s">
        <v>979</v>
      </c>
      <c r="AT5" s="771"/>
      <c r="AU5" s="772" t="s">
        <v>1074</v>
      </c>
      <c r="AV5" s="772"/>
      <c r="AX5" s="727" t="s">
        <v>1114</v>
      </c>
    </row>
    <row r="6" spans="1:53" s="17" customFormat="1" ht="127.5" customHeight="1">
      <c r="A6" s="705"/>
      <c r="B6" s="705"/>
      <c r="C6" s="705"/>
      <c r="D6" s="705"/>
      <c r="E6" s="176" t="s">
        <v>932</v>
      </c>
      <c r="F6" s="176" t="s">
        <v>933</v>
      </c>
      <c r="G6" s="176" t="s">
        <v>934</v>
      </c>
      <c r="H6" s="176" t="s">
        <v>935</v>
      </c>
      <c r="I6" s="176" t="s">
        <v>267</v>
      </c>
      <c r="J6" s="176" t="s">
        <v>268</v>
      </c>
      <c r="K6" s="176" t="s">
        <v>415</v>
      </c>
      <c r="L6" s="176" t="s">
        <v>357</v>
      </c>
      <c r="M6" s="176" t="s">
        <v>361</v>
      </c>
      <c r="N6" s="176" t="s">
        <v>362</v>
      </c>
      <c r="O6" s="176" t="s">
        <v>936</v>
      </c>
      <c r="P6" s="176" t="s">
        <v>937</v>
      </c>
      <c r="Q6" s="176" t="s">
        <v>938</v>
      </c>
      <c r="R6" s="176" t="s">
        <v>366</v>
      </c>
      <c r="S6" s="227" t="s">
        <v>1048</v>
      </c>
      <c r="T6" s="176" t="s">
        <v>367</v>
      </c>
      <c r="U6" s="176" t="s">
        <v>939</v>
      </c>
      <c r="V6" s="705"/>
      <c r="W6" s="705">
        <v>-3</v>
      </c>
      <c r="X6" s="176" t="s">
        <v>480</v>
      </c>
      <c r="Y6" s="176" t="s">
        <v>481</v>
      </c>
      <c r="Z6" s="176" t="s">
        <v>482</v>
      </c>
      <c r="AA6" s="176" t="s">
        <v>483</v>
      </c>
      <c r="AB6" s="176" t="s">
        <v>484</v>
      </c>
      <c r="AC6" s="176" t="s">
        <v>485</v>
      </c>
      <c r="AD6" s="1" t="s">
        <v>1321</v>
      </c>
      <c r="AE6" s="178" t="s">
        <v>944</v>
      </c>
      <c r="AF6" s="178" t="s">
        <v>945</v>
      </c>
      <c r="AG6" s="178" t="s">
        <v>946</v>
      </c>
      <c r="AH6" s="178" t="s">
        <v>941</v>
      </c>
      <c r="AI6" s="178" t="s">
        <v>942</v>
      </c>
      <c r="AJ6" s="178" t="s">
        <v>943</v>
      </c>
      <c r="AK6" s="178" t="s">
        <v>1198</v>
      </c>
      <c r="AL6" s="178" t="s">
        <v>940</v>
      </c>
      <c r="AM6" s="178" t="s">
        <v>951</v>
      </c>
      <c r="AN6" s="227" t="s">
        <v>1048</v>
      </c>
      <c r="AO6" s="178" t="s">
        <v>949</v>
      </c>
      <c r="AP6" s="178" t="s">
        <v>1119</v>
      </c>
      <c r="AQ6" s="771"/>
      <c r="AR6" s="770"/>
      <c r="AS6" s="249" t="s">
        <v>944</v>
      </c>
      <c r="AT6" s="249" t="s">
        <v>945</v>
      </c>
      <c r="AU6" s="249" t="s">
        <v>944</v>
      </c>
      <c r="AV6" s="249" t="s">
        <v>945</v>
      </c>
      <c r="AX6" s="727"/>
      <c r="AY6" s="17" t="s">
        <v>1115</v>
      </c>
    </row>
    <row r="7" spans="1:53" ht="14.25" customHeight="1">
      <c r="A7" s="23" t="s">
        <v>15</v>
      </c>
      <c r="B7" s="23" t="s">
        <v>16</v>
      </c>
      <c r="C7" s="23">
        <v>1</v>
      </c>
      <c r="D7" s="23">
        <v>2</v>
      </c>
      <c r="E7" s="23">
        <v>3</v>
      </c>
      <c r="F7" s="23">
        <v>4</v>
      </c>
      <c r="G7" s="175">
        <v>5</v>
      </c>
      <c r="H7" s="175">
        <v>6</v>
      </c>
      <c r="I7" s="175">
        <v>7</v>
      </c>
      <c r="J7" s="175">
        <v>8</v>
      </c>
      <c r="K7" s="175">
        <v>9</v>
      </c>
      <c r="L7" s="175">
        <v>10</v>
      </c>
      <c r="M7" s="175">
        <v>11</v>
      </c>
      <c r="N7" s="175">
        <v>12</v>
      </c>
      <c r="O7" s="175">
        <v>13</v>
      </c>
      <c r="P7" s="175">
        <v>14</v>
      </c>
      <c r="Q7" s="175">
        <v>15</v>
      </c>
      <c r="R7" s="175">
        <v>16</v>
      </c>
      <c r="S7" s="227">
        <v>17</v>
      </c>
      <c r="T7" s="175">
        <v>18</v>
      </c>
      <c r="U7" s="175">
        <v>19</v>
      </c>
      <c r="V7" s="175">
        <v>20</v>
      </c>
      <c r="W7" s="175">
        <v>21</v>
      </c>
      <c r="X7" s="23"/>
      <c r="Y7" s="23"/>
      <c r="Z7" s="23"/>
      <c r="AA7" s="23"/>
      <c r="AB7" s="23"/>
      <c r="AC7" s="23"/>
    </row>
    <row r="8" spans="1:53" s="114" customFormat="1" ht="14.25" customHeight="1">
      <c r="A8" s="55"/>
      <c r="B8" s="56" t="s">
        <v>473</v>
      </c>
      <c r="C8" s="136" t="e">
        <f>D8+V8+W8</f>
        <v>#REF!</v>
      </c>
      <c r="D8" s="136" t="e">
        <f>SUM(D9:D23)</f>
        <v>#REF!</v>
      </c>
      <c r="E8" s="136" t="e">
        <f t="shared" ref="E8:W8" si="0">SUM(E9:E23)</f>
        <v>#REF!</v>
      </c>
      <c r="F8" s="136" t="e">
        <f t="shared" si="0"/>
        <v>#REF!</v>
      </c>
      <c r="G8" s="136" t="e">
        <f t="shared" si="0"/>
        <v>#REF!</v>
      </c>
      <c r="H8" s="136" t="e">
        <f t="shared" si="0"/>
        <v>#REF!</v>
      </c>
      <c r="I8" s="136" t="e">
        <f t="shared" si="0"/>
        <v>#REF!</v>
      </c>
      <c r="J8" s="136" t="e">
        <f t="shared" si="0"/>
        <v>#REF!</v>
      </c>
      <c r="K8" s="136" t="e">
        <f t="shared" si="0"/>
        <v>#REF!</v>
      </c>
      <c r="L8" s="136" t="e">
        <f t="shared" si="0"/>
        <v>#REF!</v>
      </c>
      <c r="M8" s="136" t="e">
        <f t="shared" si="0"/>
        <v>#REF!</v>
      </c>
      <c r="N8" s="136" t="e">
        <f t="shared" si="0"/>
        <v>#REF!</v>
      </c>
      <c r="O8" s="136" t="e">
        <f t="shared" si="0"/>
        <v>#REF!</v>
      </c>
      <c r="P8" s="136" t="e">
        <f t="shared" si="0"/>
        <v>#REF!</v>
      </c>
      <c r="Q8" s="136" t="e">
        <f t="shared" si="0"/>
        <v>#REF!</v>
      </c>
      <c r="R8" s="136" t="e">
        <f t="shared" si="0"/>
        <v>#REF!</v>
      </c>
      <c r="S8" s="136" t="e">
        <f t="shared" si="0"/>
        <v>#REF!</v>
      </c>
      <c r="T8" s="136" t="e">
        <f t="shared" si="0"/>
        <v>#REF!</v>
      </c>
      <c r="U8" s="136" t="e">
        <f t="shared" si="0"/>
        <v>#REF!</v>
      </c>
      <c r="V8" s="136">
        <f t="shared" si="0"/>
        <v>0</v>
      </c>
      <c r="W8" s="136">
        <f t="shared" si="0"/>
        <v>0</v>
      </c>
      <c r="X8" s="56"/>
      <c r="Y8" s="56"/>
      <c r="Z8" s="56"/>
      <c r="AA8" s="56"/>
      <c r="AB8" s="56"/>
      <c r="AC8" s="56"/>
      <c r="AD8" s="291"/>
      <c r="AE8" s="179" t="e">
        <f>SUM(AE9:AE23)</f>
        <v>#REF!</v>
      </c>
      <c r="AF8" s="179" t="e">
        <f>SUM(AF9:AF23)</f>
        <v>#REF!</v>
      </c>
      <c r="AG8" s="179" t="e">
        <f t="shared" ref="AG8:AV8" si="1">SUM(AG9:AG23)</f>
        <v>#REF!</v>
      </c>
      <c r="AH8" s="179" t="e">
        <f t="shared" si="1"/>
        <v>#REF!</v>
      </c>
      <c r="AI8" s="179" t="e">
        <f t="shared" si="1"/>
        <v>#REF!</v>
      </c>
      <c r="AJ8" s="179" t="e">
        <f t="shared" si="1"/>
        <v>#REF!</v>
      </c>
      <c r="AK8" s="179">
        <f t="shared" si="1"/>
        <v>0</v>
      </c>
      <c r="AL8" s="179" t="e">
        <f t="shared" si="1"/>
        <v>#REF!</v>
      </c>
      <c r="AM8" s="179">
        <f t="shared" si="1"/>
        <v>0</v>
      </c>
      <c r="AN8" s="179" t="e">
        <f t="shared" si="1"/>
        <v>#REF!</v>
      </c>
      <c r="AO8" s="179" t="e">
        <f t="shared" si="1"/>
        <v>#REF!</v>
      </c>
      <c r="AP8" s="179" t="e">
        <f t="shared" si="1"/>
        <v>#REF!</v>
      </c>
      <c r="AQ8" s="307">
        <f t="shared" si="1"/>
        <v>9100</v>
      </c>
      <c r="AR8" s="179">
        <f t="shared" si="1"/>
        <v>0</v>
      </c>
      <c r="AS8" s="179">
        <f t="shared" si="1"/>
        <v>1952030</v>
      </c>
      <c r="AT8" s="179">
        <f t="shared" si="1"/>
        <v>1725530</v>
      </c>
      <c r="AU8" s="179" t="e">
        <f t="shared" si="1"/>
        <v>#REF!</v>
      </c>
      <c r="AV8" s="179" t="e">
        <f t="shared" si="1"/>
        <v>#REF!</v>
      </c>
      <c r="BA8" s="136" t="e">
        <f t="shared" ref="BA8" si="2">SUM(BA9:BA23)</f>
        <v>#REF!</v>
      </c>
    </row>
    <row r="9" spans="1:53" s="268" customFormat="1" ht="14.25" customHeight="1">
      <c r="A9" s="265">
        <v>1</v>
      </c>
      <c r="B9" s="266" t="s">
        <v>831</v>
      </c>
      <c r="C9" s="290" t="e">
        <f>+D9+V9+W9</f>
        <v>#REF!</v>
      </c>
      <c r="D9" s="290" t="e">
        <f>SUM(E9:U9)</f>
        <v>#REF!</v>
      </c>
      <c r="E9" s="290" t="e">
        <f>'48-CK NSNN'!#REF!</f>
        <v>#REF!</v>
      </c>
      <c r="F9" s="290" t="e">
        <f>'48-CK NSNN'!#REF!</f>
        <v>#REF!</v>
      </c>
      <c r="G9" s="290" t="e">
        <f>'48-CK NSNN'!#REF!</f>
        <v>#REF!</v>
      </c>
      <c r="H9" s="290" t="e">
        <f>'48-CK NSNN'!#REF!</f>
        <v>#REF!</v>
      </c>
      <c r="I9" s="290" t="e">
        <f>'48-CK NSNN'!#REF!</f>
        <v>#REF!</v>
      </c>
      <c r="J9" s="290" t="e">
        <f>'48-CK NSNN'!#REF!</f>
        <v>#REF!</v>
      </c>
      <c r="K9" s="290" t="e">
        <f>'48-CK NSNN'!#REF!</f>
        <v>#REF!</v>
      </c>
      <c r="L9" s="290" t="e">
        <f>'48-CK NSNN'!#REF!</f>
        <v>#REF!</v>
      </c>
      <c r="M9" s="290" t="e">
        <f>+'48-CK NSNN'!#REF!</f>
        <v>#REF!</v>
      </c>
      <c r="N9" s="290" t="e">
        <f>+'48-CK NSNN'!#REF!</f>
        <v>#REF!</v>
      </c>
      <c r="O9" s="290" t="e">
        <f>+'48-CK NSNN'!#REF!</f>
        <v>#REF!</v>
      </c>
      <c r="P9" s="290" t="e">
        <f>+'48-CK NSNN'!#REF!</f>
        <v>#REF!</v>
      </c>
      <c r="Q9" s="290" t="e">
        <f>+'48-CK NSNN'!#REF!</f>
        <v>#REF!</v>
      </c>
      <c r="R9" s="290" t="e">
        <f>+'48-CK NSNN'!#REF!</f>
        <v>#REF!</v>
      </c>
      <c r="S9" s="290" t="e">
        <f>+'48-CK NSNN'!#REF!</f>
        <v>#REF!</v>
      </c>
      <c r="T9" s="290" t="e">
        <f>+'48-CK NSNN'!#REF!</f>
        <v>#REF!</v>
      </c>
      <c r="U9" s="290" t="e">
        <f>+'48-CK NSNN'!#REF!</f>
        <v>#REF!</v>
      </c>
      <c r="V9" s="290"/>
      <c r="W9" s="290"/>
      <c r="X9" s="266"/>
      <c r="Y9" s="266"/>
      <c r="Z9" s="266"/>
      <c r="AA9" s="266"/>
      <c r="AB9" s="266"/>
      <c r="AC9" s="266"/>
      <c r="AD9" s="291"/>
      <c r="AE9" s="291" t="e">
        <f t="shared" ref="AE9:AE23" si="3">C9-AG9</f>
        <v>#REF!</v>
      </c>
      <c r="AF9" s="291" t="e">
        <f>AE9-P9</f>
        <v>#REF!</v>
      </c>
      <c r="AG9" s="291" t="e">
        <f t="shared" ref="AG9:AG18" si="4">+AH9+AI9+AJ9+AK9+AL9+AM9+AO9+AP9+AN9</f>
        <v>#REF!</v>
      </c>
      <c r="AH9" s="291" t="e">
        <f>+'48-CK NSNN'!#REF!</f>
        <v>#REF!</v>
      </c>
      <c r="AI9" s="291" t="e">
        <f>+'48-CK NSNN'!#REF!</f>
        <v>#REF!</v>
      </c>
      <c r="AJ9" s="291" t="e">
        <f>+'48-CK NSNN'!#REF!</f>
        <v>#REF!</v>
      </c>
      <c r="AK9" s="291"/>
      <c r="AL9" s="291" t="e">
        <f>+'48-CK NSNN'!#REF!</f>
        <v>#REF!</v>
      </c>
      <c r="AM9" s="291">
        <f>AR9*0.3</f>
        <v>0</v>
      </c>
      <c r="AN9" s="291" t="e">
        <f>S9</f>
        <v>#REF!</v>
      </c>
      <c r="AO9" s="291" t="e">
        <f>J9</f>
        <v>#REF!</v>
      </c>
      <c r="AP9" s="291" t="e">
        <f>'48-CK NSNN'!#REF!-AQ9</f>
        <v>#REF!</v>
      </c>
      <c r="AQ9" s="250">
        <v>150</v>
      </c>
      <c r="AR9" s="291"/>
      <c r="AS9" s="291">
        <v>385950</v>
      </c>
      <c r="AT9" s="291">
        <f>AS9-'20 -DG thu H 2017'!D11</f>
        <v>363950</v>
      </c>
      <c r="AU9" s="291" t="e">
        <f>AE9-AS9</f>
        <v>#REF!</v>
      </c>
      <c r="AV9" s="291" t="e">
        <f>AF9-AT9</f>
        <v>#REF!</v>
      </c>
      <c r="AX9" s="291" t="e">
        <f>T9-AP9-AQ9</f>
        <v>#REF!</v>
      </c>
      <c r="AY9" s="291" t="e">
        <f>'32-DT thu H'!T9</f>
        <v>#REF!</v>
      </c>
      <c r="AZ9" s="304" t="e">
        <f>+AY9/AX9</f>
        <v>#REF!</v>
      </c>
      <c r="BA9" s="291" t="e">
        <f>+C9-P9</f>
        <v>#REF!</v>
      </c>
    </row>
    <row r="10" spans="1:53" s="268" customFormat="1" ht="14.25" customHeight="1">
      <c r="A10" s="265">
        <v>2</v>
      </c>
      <c r="B10" s="266" t="s">
        <v>917</v>
      </c>
      <c r="C10" s="290" t="e">
        <f t="shared" ref="C10:C23" si="5">+D10+V10+W10</f>
        <v>#REF!</v>
      </c>
      <c r="D10" s="290" t="e">
        <f t="shared" ref="D10:D23" si="6">SUM(E10:U10)</f>
        <v>#REF!</v>
      </c>
      <c r="E10" s="290" t="e">
        <f>'48-CK NSNN'!#REF!</f>
        <v>#REF!</v>
      </c>
      <c r="F10" s="290" t="e">
        <f>'48-CK NSNN'!#REF!</f>
        <v>#REF!</v>
      </c>
      <c r="G10" s="290" t="e">
        <f>'48-CK NSNN'!#REF!</f>
        <v>#REF!</v>
      </c>
      <c r="H10" s="290" t="e">
        <f>'48-CK NSNN'!#REF!</f>
        <v>#REF!</v>
      </c>
      <c r="I10" s="290" t="e">
        <f>'48-CK NSNN'!#REF!</f>
        <v>#REF!</v>
      </c>
      <c r="J10" s="290" t="e">
        <f>'48-CK NSNN'!#REF!</f>
        <v>#REF!</v>
      </c>
      <c r="K10" s="290" t="e">
        <f>'48-CK NSNN'!#REF!</f>
        <v>#REF!</v>
      </c>
      <c r="L10" s="290" t="e">
        <f>'48-CK NSNN'!#REF!</f>
        <v>#REF!</v>
      </c>
      <c r="M10" s="290" t="e">
        <f>+'48-CK NSNN'!#REF!</f>
        <v>#REF!</v>
      </c>
      <c r="N10" s="290" t="e">
        <f>+'48-CK NSNN'!#REF!</f>
        <v>#REF!</v>
      </c>
      <c r="O10" s="290" t="e">
        <f>+'48-CK NSNN'!#REF!</f>
        <v>#REF!</v>
      </c>
      <c r="P10" s="290" t="e">
        <f>+'48-CK NSNN'!#REF!</f>
        <v>#REF!</v>
      </c>
      <c r="Q10" s="290" t="e">
        <f>+'48-CK NSNN'!#REF!</f>
        <v>#REF!</v>
      </c>
      <c r="R10" s="290" t="e">
        <f>+'48-CK NSNN'!#REF!</f>
        <v>#REF!</v>
      </c>
      <c r="S10" s="290" t="e">
        <f>+'48-CK NSNN'!#REF!</f>
        <v>#REF!</v>
      </c>
      <c r="T10" s="290" t="e">
        <f>+'48-CK NSNN'!#REF!</f>
        <v>#REF!</v>
      </c>
      <c r="U10" s="290" t="e">
        <f>+'48-CK NSNN'!#REF!</f>
        <v>#REF!</v>
      </c>
      <c r="V10" s="290"/>
      <c r="W10" s="290"/>
      <c r="X10" s="266"/>
      <c r="Y10" s="266"/>
      <c r="Z10" s="266"/>
      <c r="AA10" s="266"/>
      <c r="AB10" s="266"/>
      <c r="AC10" s="266"/>
      <c r="AD10" s="291"/>
      <c r="AE10" s="291" t="e">
        <f t="shared" si="3"/>
        <v>#REF!</v>
      </c>
      <c r="AF10" s="291" t="e">
        <f t="shared" ref="AF10:AF23" si="7">AE10-P10</f>
        <v>#REF!</v>
      </c>
      <c r="AG10" s="291" t="e">
        <f t="shared" si="4"/>
        <v>#REF!</v>
      </c>
      <c r="AH10" s="291" t="e">
        <f>+'48-CK NSNN'!#REF!</f>
        <v>#REF!</v>
      </c>
      <c r="AI10" s="291" t="e">
        <f>+'48-CK NSNN'!#REF!</f>
        <v>#REF!</v>
      </c>
      <c r="AJ10" s="291" t="e">
        <f>+'48-CK NSNN'!#REF!</f>
        <v>#REF!</v>
      </c>
      <c r="AK10" s="291"/>
      <c r="AL10" s="291" t="e">
        <f>+'48-CK NSNN'!#REF!</f>
        <v>#REF!</v>
      </c>
      <c r="AM10" s="291">
        <f t="shared" ref="AM10:AM23" si="8">AR10*0.3</f>
        <v>0</v>
      </c>
      <c r="AN10" s="291" t="e">
        <f t="shared" ref="AN10:AN23" si="9">S10</f>
        <v>#REF!</v>
      </c>
      <c r="AO10" s="291" t="e">
        <f t="shared" ref="AO10:AO23" si="10">J10</f>
        <v>#REF!</v>
      </c>
      <c r="AP10" s="291" t="e">
        <f>'48-CK NSNN'!#REF!-AQ10</f>
        <v>#REF!</v>
      </c>
      <c r="AQ10" s="250"/>
      <c r="AR10" s="291"/>
      <c r="AS10" s="291">
        <v>68000</v>
      </c>
      <c r="AT10" s="291">
        <f>AS10-'20 -DG thu H 2017'!D12</f>
        <v>51000</v>
      </c>
      <c r="AU10" s="291" t="e">
        <f t="shared" ref="AU10:AU23" si="11">AE10-AS10</f>
        <v>#REF!</v>
      </c>
      <c r="AV10" s="291" t="e">
        <f t="shared" ref="AV10:AV23" si="12">AF10-AT10</f>
        <v>#REF!</v>
      </c>
      <c r="AX10" s="291" t="e">
        <f t="shared" ref="AX10:AX23" si="13">T10-AP10-AQ10</f>
        <v>#REF!</v>
      </c>
      <c r="AY10" s="291" t="e">
        <f>'32-DT thu H'!T10</f>
        <v>#REF!</v>
      </c>
      <c r="AZ10" s="304" t="e">
        <f t="shared" ref="AZ10:AZ23" si="14">+AY10/AX10</f>
        <v>#REF!</v>
      </c>
      <c r="BA10" s="291" t="e">
        <f t="shared" ref="BA10:BA23" si="15">+C10-P10</f>
        <v>#REF!</v>
      </c>
    </row>
    <row r="11" spans="1:53" s="268" customFormat="1" ht="14.25" customHeight="1">
      <c r="A11" s="265">
        <v>3</v>
      </c>
      <c r="B11" s="266" t="s">
        <v>918</v>
      </c>
      <c r="C11" s="290" t="e">
        <f t="shared" si="5"/>
        <v>#REF!</v>
      </c>
      <c r="D11" s="290" t="e">
        <f t="shared" si="6"/>
        <v>#REF!</v>
      </c>
      <c r="E11" s="290" t="e">
        <f>'48-CK NSNN'!#REF!</f>
        <v>#REF!</v>
      </c>
      <c r="F11" s="290" t="e">
        <f>'48-CK NSNN'!#REF!</f>
        <v>#REF!</v>
      </c>
      <c r="G11" s="290" t="e">
        <f>'48-CK NSNN'!#REF!</f>
        <v>#REF!</v>
      </c>
      <c r="H11" s="290" t="e">
        <f>'48-CK NSNN'!#REF!</f>
        <v>#REF!</v>
      </c>
      <c r="I11" s="290" t="e">
        <f>'48-CK NSNN'!#REF!</f>
        <v>#REF!</v>
      </c>
      <c r="J11" s="290" t="e">
        <f>'48-CK NSNN'!#REF!</f>
        <v>#REF!</v>
      </c>
      <c r="K11" s="290" t="e">
        <f>'48-CK NSNN'!#REF!</f>
        <v>#REF!</v>
      </c>
      <c r="L11" s="290" t="e">
        <f>+'48-CK NSNN'!#REF!</f>
        <v>#REF!</v>
      </c>
      <c r="M11" s="290" t="e">
        <f>+'48-CK NSNN'!#REF!</f>
        <v>#REF!</v>
      </c>
      <c r="N11" s="290" t="e">
        <f>+'48-CK NSNN'!#REF!</f>
        <v>#REF!</v>
      </c>
      <c r="O11" s="290" t="e">
        <f>+'48-CK NSNN'!#REF!</f>
        <v>#REF!</v>
      </c>
      <c r="P11" s="290" t="e">
        <f>+'48-CK NSNN'!#REF!</f>
        <v>#REF!</v>
      </c>
      <c r="Q11" s="290" t="e">
        <f>+'48-CK NSNN'!#REF!</f>
        <v>#REF!</v>
      </c>
      <c r="R11" s="290" t="e">
        <f>+'48-CK NSNN'!#REF!</f>
        <v>#REF!</v>
      </c>
      <c r="S11" s="290" t="e">
        <f>+'48-CK NSNN'!#REF!</f>
        <v>#REF!</v>
      </c>
      <c r="T11" s="290" t="e">
        <f>+'48-CK NSNN'!#REF!</f>
        <v>#REF!</v>
      </c>
      <c r="U11" s="290" t="e">
        <f>+'48-CK NSNN'!#REF!</f>
        <v>#REF!</v>
      </c>
      <c r="V11" s="290"/>
      <c r="W11" s="290"/>
      <c r="X11" s="266"/>
      <c r="Y11" s="266"/>
      <c r="Z11" s="266"/>
      <c r="AA11" s="266"/>
      <c r="AB11" s="266"/>
      <c r="AC11" s="266"/>
      <c r="AD11" s="291"/>
      <c r="AE11" s="291" t="e">
        <f t="shared" si="3"/>
        <v>#REF!</v>
      </c>
      <c r="AF11" s="291" t="e">
        <f t="shared" si="7"/>
        <v>#REF!</v>
      </c>
      <c r="AG11" s="291" t="e">
        <f t="shared" si="4"/>
        <v>#REF!</v>
      </c>
      <c r="AH11" s="291" t="e">
        <f>+'48-CK NSNN'!#REF!</f>
        <v>#REF!</v>
      </c>
      <c r="AI11" s="291" t="e">
        <f>+'48-CK NSNN'!#REF!</f>
        <v>#REF!</v>
      </c>
      <c r="AJ11" s="291" t="e">
        <f>+'48-CK NSNN'!#REF!</f>
        <v>#REF!</v>
      </c>
      <c r="AK11" s="291"/>
      <c r="AL11" s="291" t="e">
        <f>+'48-CK NSNN'!#REF!</f>
        <v>#REF!</v>
      </c>
      <c r="AM11" s="291">
        <f t="shared" si="8"/>
        <v>0</v>
      </c>
      <c r="AN11" s="291" t="e">
        <f t="shared" si="9"/>
        <v>#REF!</v>
      </c>
      <c r="AO11" s="291" t="e">
        <f t="shared" si="10"/>
        <v>#REF!</v>
      </c>
      <c r="AP11" s="291" t="e">
        <f>'48-CK NSNN'!#REF!-AQ11</f>
        <v>#REF!</v>
      </c>
      <c r="AQ11" s="250">
        <v>150</v>
      </c>
      <c r="AR11" s="291"/>
      <c r="AS11" s="291">
        <v>362050</v>
      </c>
      <c r="AT11" s="291">
        <f>AS11-'20 -DG thu H 2017'!D13</f>
        <v>330050</v>
      </c>
      <c r="AU11" s="291" t="e">
        <f t="shared" si="11"/>
        <v>#REF!</v>
      </c>
      <c r="AV11" s="291" t="e">
        <f t="shared" si="12"/>
        <v>#REF!</v>
      </c>
      <c r="AX11" s="291" t="e">
        <f t="shared" si="13"/>
        <v>#REF!</v>
      </c>
      <c r="AY11" s="291" t="e">
        <f>'32-DT thu H'!T11</f>
        <v>#REF!</v>
      </c>
      <c r="AZ11" s="304" t="e">
        <f t="shared" si="14"/>
        <v>#REF!</v>
      </c>
      <c r="BA11" s="291" t="e">
        <f t="shared" si="15"/>
        <v>#REF!</v>
      </c>
    </row>
    <row r="12" spans="1:53" s="268" customFormat="1" ht="14.25" customHeight="1">
      <c r="A12" s="265">
        <v>4</v>
      </c>
      <c r="B12" s="266" t="s">
        <v>919</v>
      </c>
      <c r="C12" s="290" t="e">
        <f t="shared" si="5"/>
        <v>#REF!</v>
      </c>
      <c r="D12" s="290" t="e">
        <f t="shared" si="6"/>
        <v>#REF!</v>
      </c>
      <c r="E12" s="290" t="e">
        <f>'48-CK NSNN'!#REF!</f>
        <v>#REF!</v>
      </c>
      <c r="F12" s="290" t="e">
        <f>'48-CK NSNN'!#REF!</f>
        <v>#REF!</v>
      </c>
      <c r="G12" s="290" t="e">
        <f>'48-CK NSNN'!#REF!</f>
        <v>#REF!</v>
      </c>
      <c r="H12" s="290" t="e">
        <f>'48-CK NSNN'!#REF!</f>
        <v>#REF!</v>
      </c>
      <c r="I12" s="290" t="e">
        <f>'48-CK NSNN'!#REF!</f>
        <v>#REF!</v>
      </c>
      <c r="J12" s="290" t="e">
        <f>'48-CK NSNN'!#REF!</f>
        <v>#REF!</v>
      </c>
      <c r="K12" s="290" t="e">
        <f>'48-CK NSNN'!#REF!</f>
        <v>#REF!</v>
      </c>
      <c r="L12" s="290" t="e">
        <f>+'48-CK NSNN'!#REF!</f>
        <v>#REF!</v>
      </c>
      <c r="M12" s="290" t="e">
        <f>+'48-CK NSNN'!#REF!</f>
        <v>#REF!</v>
      </c>
      <c r="N12" s="290" t="e">
        <f>+'48-CK NSNN'!#REF!</f>
        <v>#REF!</v>
      </c>
      <c r="O12" s="290" t="e">
        <f>+'48-CK NSNN'!#REF!</f>
        <v>#REF!</v>
      </c>
      <c r="P12" s="290" t="e">
        <f>+'48-CK NSNN'!#REF!</f>
        <v>#REF!</v>
      </c>
      <c r="Q12" s="290" t="e">
        <f>+'48-CK NSNN'!#REF!</f>
        <v>#REF!</v>
      </c>
      <c r="R12" s="290" t="e">
        <f>+'48-CK NSNN'!#REF!</f>
        <v>#REF!</v>
      </c>
      <c r="S12" s="290" t="e">
        <f>+'48-CK NSNN'!#REF!</f>
        <v>#REF!</v>
      </c>
      <c r="T12" s="290" t="e">
        <f>+'48-CK NSNN'!#REF!</f>
        <v>#REF!</v>
      </c>
      <c r="U12" s="290" t="e">
        <f>+'48-CK NSNN'!#REF!</f>
        <v>#REF!</v>
      </c>
      <c r="V12" s="290"/>
      <c r="W12" s="290"/>
      <c r="X12" s="266"/>
      <c r="Y12" s="266"/>
      <c r="Z12" s="266"/>
      <c r="AA12" s="266"/>
      <c r="AB12" s="266"/>
      <c r="AC12" s="266"/>
      <c r="AD12" s="291">
        <f>'[3]16-ThuNSNN2018'!$H$9</f>
        <v>81450</v>
      </c>
      <c r="AE12" s="291" t="e">
        <f>C12-AG12</f>
        <v>#REF!</v>
      </c>
      <c r="AF12" s="291" t="e">
        <f t="shared" si="7"/>
        <v>#REF!</v>
      </c>
      <c r="AG12" s="291" t="e">
        <f t="shared" si="4"/>
        <v>#REF!</v>
      </c>
      <c r="AH12" s="291" t="e">
        <f>+'48-CK NSNN'!#REF!</f>
        <v>#REF!</v>
      </c>
      <c r="AI12" s="291" t="e">
        <f>+'48-CK NSNN'!#REF!</f>
        <v>#REF!</v>
      </c>
      <c r="AJ12" s="291" t="e">
        <f>+'48-CK NSNN'!#REF!</f>
        <v>#REF!</v>
      </c>
      <c r="AK12" s="291"/>
      <c r="AL12" s="291" t="e">
        <f>+'48-CK NSNN'!#REF!</f>
        <v>#REF!</v>
      </c>
      <c r="AM12" s="291">
        <f t="shared" si="8"/>
        <v>0</v>
      </c>
      <c r="AN12" s="291" t="e">
        <f t="shared" si="9"/>
        <v>#REF!</v>
      </c>
      <c r="AO12" s="291" t="e">
        <f t="shared" si="10"/>
        <v>#REF!</v>
      </c>
      <c r="AP12" s="291" t="e">
        <f>'48-CK NSNN'!#REF!-AQ12</f>
        <v>#REF!</v>
      </c>
      <c r="AQ12" s="250">
        <v>150</v>
      </c>
      <c r="AR12" s="291"/>
      <c r="AS12" s="291">
        <v>76590</v>
      </c>
      <c r="AT12" s="291">
        <f>AS12-'20 -DG thu H 2017'!D14</f>
        <v>67090</v>
      </c>
      <c r="AU12" s="291" t="e">
        <f t="shared" si="11"/>
        <v>#REF!</v>
      </c>
      <c r="AV12" s="291" t="e">
        <f t="shared" si="12"/>
        <v>#REF!</v>
      </c>
      <c r="AX12" s="291" t="e">
        <f t="shared" si="13"/>
        <v>#REF!</v>
      </c>
      <c r="AY12" s="291" t="e">
        <f>'32-DT thu H'!T12</f>
        <v>#REF!</v>
      </c>
      <c r="AZ12" s="304" t="e">
        <f t="shared" si="14"/>
        <v>#REF!</v>
      </c>
      <c r="BA12" s="291" t="e">
        <f t="shared" si="15"/>
        <v>#REF!</v>
      </c>
    </row>
    <row r="13" spans="1:53" s="268" customFormat="1" ht="14.25" customHeight="1">
      <c r="A13" s="265">
        <v>5</v>
      </c>
      <c r="B13" s="266" t="s">
        <v>920</v>
      </c>
      <c r="C13" s="290" t="e">
        <f t="shared" si="5"/>
        <v>#REF!</v>
      </c>
      <c r="D13" s="290" t="e">
        <f t="shared" si="6"/>
        <v>#REF!</v>
      </c>
      <c r="E13" s="290" t="e">
        <f>'48-CK NSNN'!#REF!</f>
        <v>#REF!</v>
      </c>
      <c r="F13" s="290" t="e">
        <f>'48-CK NSNN'!#REF!</f>
        <v>#REF!</v>
      </c>
      <c r="G13" s="290" t="e">
        <f>'48-CK NSNN'!#REF!</f>
        <v>#REF!</v>
      </c>
      <c r="H13" s="290" t="e">
        <f>'48-CK NSNN'!#REF!</f>
        <v>#REF!</v>
      </c>
      <c r="I13" s="290" t="e">
        <f>'48-CK NSNN'!#REF!</f>
        <v>#REF!</v>
      </c>
      <c r="J13" s="290" t="e">
        <f>'48-CK NSNN'!#REF!</f>
        <v>#REF!</v>
      </c>
      <c r="K13" s="290" t="e">
        <f>'48-CK NSNN'!#REF!</f>
        <v>#REF!</v>
      </c>
      <c r="L13" s="290" t="e">
        <f>+'48-CK NSNN'!#REF!</f>
        <v>#REF!</v>
      </c>
      <c r="M13" s="290" t="e">
        <f>+'48-CK NSNN'!#REF!</f>
        <v>#REF!</v>
      </c>
      <c r="N13" s="290" t="e">
        <f>+'48-CK NSNN'!#REF!</f>
        <v>#REF!</v>
      </c>
      <c r="O13" s="290" t="e">
        <f>+'48-CK NSNN'!#REF!</f>
        <v>#REF!</v>
      </c>
      <c r="P13" s="290" t="e">
        <f>+'48-CK NSNN'!#REF!</f>
        <v>#REF!</v>
      </c>
      <c r="Q13" s="290" t="e">
        <f>+'48-CK NSNN'!#REF!</f>
        <v>#REF!</v>
      </c>
      <c r="R13" s="290" t="e">
        <f>+'48-CK NSNN'!#REF!</f>
        <v>#REF!</v>
      </c>
      <c r="S13" s="290" t="e">
        <f>+'48-CK NSNN'!#REF!</f>
        <v>#REF!</v>
      </c>
      <c r="T13" s="290" t="e">
        <f>+'48-CK NSNN'!#REF!</f>
        <v>#REF!</v>
      </c>
      <c r="U13" s="290" t="e">
        <f>+'48-CK NSNN'!#REF!</f>
        <v>#REF!</v>
      </c>
      <c r="V13" s="290"/>
      <c r="W13" s="290"/>
      <c r="X13" s="266"/>
      <c r="Y13" s="266"/>
      <c r="Z13" s="266"/>
      <c r="AA13" s="266"/>
      <c r="AB13" s="266"/>
      <c r="AC13" s="266"/>
      <c r="AD13" s="291">
        <f>'[4]16-ThuNSNN2018'!$H$9</f>
        <v>37680</v>
      </c>
      <c r="AE13" s="291" t="e">
        <f t="shared" si="3"/>
        <v>#REF!</v>
      </c>
      <c r="AF13" s="291" t="e">
        <f t="shared" si="7"/>
        <v>#REF!</v>
      </c>
      <c r="AG13" s="291" t="e">
        <f t="shared" si="4"/>
        <v>#REF!</v>
      </c>
      <c r="AH13" s="291" t="e">
        <f>+'48-CK NSNN'!#REF!</f>
        <v>#REF!</v>
      </c>
      <c r="AI13" s="291" t="e">
        <f>+'48-CK NSNN'!#REF!</f>
        <v>#REF!</v>
      </c>
      <c r="AJ13" s="291" t="e">
        <f>+'48-CK NSNN'!#REF!</f>
        <v>#REF!</v>
      </c>
      <c r="AK13" s="291"/>
      <c r="AL13" s="291" t="e">
        <f>+'48-CK NSNN'!#REF!</f>
        <v>#REF!</v>
      </c>
      <c r="AM13" s="291">
        <f t="shared" si="8"/>
        <v>0</v>
      </c>
      <c r="AN13" s="291" t="e">
        <f t="shared" si="9"/>
        <v>#REF!</v>
      </c>
      <c r="AO13" s="291" t="e">
        <f t="shared" si="10"/>
        <v>#REF!</v>
      </c>
      <c r="AP13" s="291" t="e">
        <f>'48-CK NSNN'!#REF!-AQ13</f>
        <v>#REF!</v>
      </c>
      <c r="AQ13" s="250">
        <v>900</v>
      </c>
      <c r="AR13" s="291"/>
      <c r="AS13" s="291">
        <v>31550</v>
      </c>
      <c r="AT13" s="291">
        <f>AS13-'20 -DG thu H 2017'!D15</f>
        <v>28550</v>
      </c>
      <c r="AU13" s="291" t="e">
        <f t="shared" si="11"/>
        <v>#REF!</v>
      </c>
      <c r="AV13" s="291" t="e">
        <f t="shared" si="12"/>
        <v>#REF!</v>
      </c>
      <c r="AX13" s="291" t="e">
        <f t="shared" si="13"/>
        <v>#REF!</v>
      </c>
      <c r="AY13" s="291" t="e">
        <f>'32-DT thu H'!T13</f>
        <v>#REF!</v>
      </c>
      <c r="AZ13" s="304" t="e">
        <f t="shared" si="14"/>
        <v>#REF!</v>
      </c>
      <c r="BA13" s="291" t="e">
        <f t="shared" si="15"/>
        <v>#REF!</v>
      </c>
    </row>
    <row r="14" spans="1:53" s="268" customFormat="1" ht="14.25" customHeight="1">
      <c r="A14" s="265">
        <v>6</v>
      </c>
      <c r="B14" s="266" t="s">
        <v>921</v>
      </c>
      <c r="C14" s="290" t="e">
        <f t="shared" si="5"/>
        <v>#REF!</v>
      </c>
      <c r="D14" s="290" t="e">
        <f t="shared" si="6"/>
        <v>#REF!</v>
      </c>
      <c r="E14" s="290" t="e">
        <f>'48-CK NSNN'!#REF!</f>
        <v>#REF!</v>
      </c>
      <c r="F14" s="290" t="e">
        <f>'48-CK NSNN'!#REF!</f>
        <v>#REF!</v>
      </c>
      <c r="G14" s="290" t="e">
        <f>'48-CK NSNN'!#REF!</f>
        <v>#REF!</v>
      </c>
      <c r="H14" s="290" t="e">
        <f>'48-CK NSNN'!#REF!</f>
        <v>#REF!</v>
      </c>
      <c r="I14" s="290" t="e">
        <f>'48-CK NSNN'!#REF!</f>
        <v>#REF!</v>
      </c>
      <c r="J14" s="290" t="e">
        <f>'48-CK NSNN'!#REF!</f>
        <v>#REF!</v>
      </c>
      <c r="K14" s="290" t="e">
        <f>'48-CK NSNN'!#REF!</f>
        <v>#REF!</v>
      </c>
      <c r="L14" s="290" t="e">
        <f>+'48-CK NSNN'!#REF!</f>
        <v>#REF!</v>
      </c>
      <c r="M14" s="290" t="e">
        <f>+'48-CK NSNN'!#REF!</f>
        <v>#REF!</v>
      </c>
      <c r="N14" s="290" t="e">
        <f>+'48-CK NSNN'!#REF!</f>
        <v>#REF!</v>
      </c>
      <c r="O14" s="290" t="e">
        <f>+'48-CK NSNN'!#REF!</f>
        <v>#REF!</v>
      </c>
      <c r="P14" s="290" t="e">
        <f>+'48-CK NSNN'!#REF!</f>
        <v>#REF!</v>
      </c>
      <c r="Q14" s="290" t="e">
        <f>+'48-CK NSNN'!#REF!</f>
        <v>#REF!</v>
      </c>
      <c r="R14" s="290" t="e">
        <f>+'48-CK NSNN'!#REF!</f>
        <v>#REF!</v>
      </c>
      <c r="S14" s="290" t="e">
        <f>+'48-CK NSNN'!#REF!</f>
        <v>#REF!</v>
      </c>
      <c r="T14" s="290" t="e">
        <f>+'48-CK NSNN'!#REF!</f>
        <v>#REF!</v>
      </c>
      <c r="U14" s="290" t="e">
        <f>+'48-CK NSNN'!#REF!</f>
        <v>#REF!</v>
      </c>
      <c r="V14" s="290"/>
      <c r="W14" s="290"/>
      <c r="X14" s="266"/>
      <c r="Y14" s="266"/>
      <c r="Z14" s="266"/>
      <c r="AA14" s="266"/>
      <c r="AB14" s="266"/>
      <c r="AC14" s="266"/>
      <c r="AD14" s="291"/>
      <c r="AE14" s="291" t="e">
        <f t="shared" si="3"/>
        <v>#REF!</v>
      </c>
      <c r="AF14" s="291" t="e">
        <f t="shared" si="7"/>
        <v>#REF!</v>
      </c>
      <c r="AG14" s="291" t="e">
        <f t="shared" si="4"/>
        <v>#REF!</v>
      </c>
      <c r="AH14" s="291" t="e">
        <f>+'48-CK NSNN'!#REF!</f>
        <v>#REF!</v>
      </c>
      <c r="AI14" s="291" t="e">
        <f>+'48-CK NSNN'!#REF!</f>
        <v>#REF!</v>
      </c>
      <c r="AJ14" s="291" t="e">
        <f>+'48-CK NSNN'!#REF!</f>
        <v>#REF!</v>
      </c>
      <c r="AK14" s="291"/>
      <c r="AL14" s="291" t="e">
        <f>+'48-CK NSNN'!#REF!</f>
        <v>#REF!</v>
      </c>
      <c r="AM14" s="291">
        <f t="shared" si="8"/>
        <v>0</v>
      </c>
      <c r="AN14" s="291" t="e">
        <f t="shared" si="9"/>
        <v>#REF!</v>
      </c>
      <c r="AO14" s="291" t="e">
        <f t="shared" si="10"/>
        <v>#REF!</v>
      </c>
      <c r="AP14" s="291" t="e">
        <f>+'48-CK NSNN'!#REF!-AQ14</f>
        <v>#REF!</v>
      </c>
      <c r="AQ14" s="250"/>
      <c r="AR14" s="291"/>
      <c r="AS14" s="291">
        <v>63900</v>
      </c>
      <c r="AT14" s="291">
        <f>AS14-'20 -DG thu H 2017'!D16</f>
        <v>58900</v>
      </c>
      <c r="AU14" s="291" t="e">
        <f t="shared" si="11"/>
        <v>#REF!</v>
      </c>
      <c r="AV14" s="443" t="e">
        <f t="shared" si="12"/>
        <v>#REF!</v>
      </c>
      <c r="AX14" s="291" t="e">
        <f t="shared" si="13"/>
        <v>#REF!</v>
      </c>
      <c r="AY14" s="291" t="e">
        <f>'32-DT thu H'!T14</f>
        <v>#REF!</v>
      </c>
      <c r="AZ14" s="304" t="e">
        <f t="shared" si="14"/>
        <v>#REF!</v>
      </c>
      <c r="BA14" s="291" t="e">
        <f t="shared" si="15"/>
        <v>#REF!</v>
      </c>
    </row>
    <row r="15" spans="1:53" s="268" customFormat="1" ht="14.25" customHeight="1">
      <c r="A15" s="265">
        <v>7</v>
      </c>
      <c r="B15" s="266" t="s">
        <v>922</v>
      </c>
      <c r="C15" s="290" t="e">
        <f t="shared" si="5"/>
        <v>#REF!</v>
      </c>
      <c r="D15" s="290" t="e">
        <f t="shared" si="6"/>
        <v>#REF!</v>
      </c>
      <c r="E15" s="290" t="e">
        <f>'48-CK NSNN'!#REF!</f>
        <v>#REF!</v>
      </c>
      <c r="F15" s="290" t="e">
        <f>'48-CK NSNN'!#REF!</f>
        <v>#REF!</v>
      </c>
      <c r="G15" s="290" t="e">
        <f>'48-CK NSNN'!#REF!</f>
        <v>#REF!</v>
      </c>
      <c r="H15" s="290" t="e">
        <f>'48-CK NSNN'!#REF!</f>
        <v>#REF!</v>
      </c>
      <c r="I15" s="290" t="e">
        <f>'48-CK NSNN'!#REF!</f>
        <v>#REF!</v>
      </c>
      <c r="J15" s="290" t="e">
        <f>'48-CK NSNN'!#REF!</f>
        <v>#REF!</v>
      </c>
      <c r="K15" s="290" t="e">
        <f>'48-CK NSNN'!#REF!</f>
        <v>#REF!</v>
      </c>
      <c r="L15" s="290" t="e">
        <f>+'48-CK NSNN'!#REF!</f>
        <v>#REF!</v>
      </c>
      <c r="M15" s="290" t="e">
        <f>+'48-CK NSNN'!#REF!</f>
        <v>#REF!</v>
      </c>
      <c r="N15" s="290" t="e">
        <f>+'48-CK NSNN'!#REF!</f>
        <v>#REF!</v>
      </c>
      <c r="O15" s="290" t="e">
        <f>+'48-CK NSNN'!#REF!</f>
        <v>#REF!</v>
      </c>
      <c r="P15" s="290" t="e">
        <f>+'48-CK NSNN'!#REF!</f>
        <v>#REF!</v>
      </c>
      <c r="Q15" s="290" t="e">
        <f>+'48-CK NSNN'!#REF!</f>
        <v>#REF!</v>
      </c>
      <c r="R15" s="290" t="e">
        <f>+'48-CK NSNN'!#REF!</f>
        <v>#REF!</v>
      </c>
      <c r="S15" s="290" t="e">
        <f>+'48-CK NSNN'!#REF!</f>
        <v>#REF!</v>
      </c>
      <c r="T15" s="290" t="e">
        <f>+'48-CK NSNN'!#REF!</f>
        <v>#REF!</v>
      </c>
      <c r="U15" s="290" t="e">
        <f>+'48-CK NSNN'!#REF!</f>
        <v>#REF!</v>
      </c>
      <c r="V15" s="290"/>
      <c r="W15" s="290"/>
      <c r="X15" s="266"/>
      <c r="Y15" s="266"/>
      <c r="Z15" s="266"/>
      <c r="AA15" s="266"/>
      <c r="AB15" s="266"/>
      <c r="AC15" s="266"/>
      <c r="AD15" s="291">
        <f>'[5]16-ThuNSNN2018'!$H$9</f>
        <v>679080</v>
      </c>
      <c r="AE15" s="291" t="e">
        <f t="shared" si="3"/>
        <v>#REF!</v>
      </c>
      <c r="AF15" s="291" t="e">
        <f t="shared" si="7"/>
        <v>#REF!</v>
      </c>
      <c r="AG15" s="291" t="e">
        <f t="shared" si="4"/>
        <v>#REF!</v>
      </c>
      <c r="AH15" s="291" t="e">
        <f>+'48-CK NSNN'!#REF!</f>
        <v>#REF!</v>
      </c>
      <c r="AI15" s="291" t="e">
        <f>+'48-CK NSNN'!#REF!</f>
        <v>#REF!</v>
      </c>
      <c r="AJ15" s="291" t="e">
        <f>+'48-CK NSNN'!#REF!</f>
        <v>#REF!</v>
      </c>
      <c r="AK15" s="291"/>
      <c r="AL15" s="291" t="e">
        <f>+'48-CK NSNN'!#REF!</f>
        <v>#REF!</v>
      </c>
      <c r="AM15" s="291">
        <f t="shared" si="8"/>
        <v>0</v>
      </c>
      <c r="AN15" s="291" t="e">
        <f t="shared" si="9"/>
        <v>#REF!</v>
      </c>
      <c r="AO15" s="291" t="e">
        <f t="shared" si="10"/>
        <v>#REF!</v>
      </c>
      <c r="AP15" s="291" t="e">
        <f>'48-CK NSNN'!#REF!-AQ15</f>
        <v>#REF!</v>
      </c>
      <c r="AQ15" s="250">
        <v>300</v>
      </c>
      <c r="AR15" s="291"/>
      <c r="AS15" s="291">
        <v>383540</v>
      </c>
      <c r="AT15" s="291">
        <f>AS15-'20 -DG thu H 2017'!D17</f>
        <v>322540</v>
      </c>
      <c r="AU15" s="291" t="e">
        <f t="shared" si="11"/>
        <v>#REF!</v>
      </c>
      <c r="AV15" s="291" t="e">
        <f t="shared" si="12"/>
        <v>#REF!</v>
      </c>
      <c r="AX15" s="291" t="e">
        <f t="shared" si="13"/>
        <v>#REF!</v>
      </c>
      <c r="AY15" s="291" t="e">
        <f>'32-DT thu H'!T15</f>
        <v>#REF!</v>
      </c>
      <c r="AZ15" s="304" t="e">
        <f t="shared" si="14"/>
        <v>#REF!</v>
      </c>
      <c r="BA15" s="291" t="e">
        <f t="shared" si="15"/>
        <v>#REF!</v>
      </c>
    </row>
    <row r="16" spans="1:53" s="268" customFormat="1" ht="14.25" customHeight="1">
      <c r="A16" s="265">
        <v>8</v>
      </c>
      <c r="B16" s="266" t="s">
        <v>923</v>
      </c>
      <c r="C16" s="290" t="e">
        <f t="shared" si="5"/>
        <v>#REF!</v>
      </c>
      <c r="D16" s="290" t="e">
        <f t="shared" si="6"/>
        <v>#REF!</v>
      </c>
      <c r="E16" s="290" t="e">
        <f>'48-CK NSNN'!#REF!</f>
        <v>#REF!</v>
      </c>
      <c r="F16" s="290" t="e">
        <f>'48-CK NSNN'!#REF!</f>
        <v>#REF!</v>
      </c>
      <c r="G16" s="290" t="e">
        <f>'48-CK NSNN'!#REF!</f>
        <v>#REF!</v>
      </c>
      <c r="H16" s="290" t="e">
        <f>'48-CK NSNN'!#REF!</f>
        <v>#REF!</v>
      </c>
      <c r="I16" s="290" t="e">
        <f>'48-CK NSNN'!#REF!</f>
        <v>#REF!</v>
      </c>
      <c r="J16" s="290" t="e">
        <f>'48-CK NSNN'!#REF!</f>
        <v>#REF!</v>
      </c>
      <c r="K16" s="290" t="e">
        <f>'48-CK NSNN'!#REF!</f>
        <v>#REF!</v>
      </c>
      <c r="L16" s="290" t="e">
        <f>+'48-CK NSNN'!#REF!</f>
        <v>#REF!</v>
      </c>
      <c r="M16" s="290" t="e">
        <f>+'48-CK NSNN'!#REF!</f>
        <v>#REF!</v>
      </c>
      <c r="N16" s="290" t="e">
        <f>+'48-CK NSNN'!#REF!</f>
        <v>#REF!</v>
      </c>
      <c r="O16" s="290" t="e">
        <f>+'48-CK NSNN'!#REF!</f>
        <v>#REF!</v>
      </c>
      <c r="P16" s="290" t="e">
        <f>+'48-CK NSNN'!#REF!</f>
        <v>#REF!</v>
      </c>
      <c r="Q16" s="290" t="e">
        <f>+'48-CK NSNN'!#REF!</f>
        <v>#REF!</v>
      </c>
      <c r="R16" s="290" t="e">
        <f>+'48-CK NSNN'!#REF!</f>
        <v>#REF!</v>
      </c>
      <c r="S16" s="290" t="e">
        <f>+'48-CK NSNN'!#REF!</f>
        <v>#REF!</v>
      </c>
      <c r="T16" s="290" t="e">
        <f>+'48-CK NSNN'!#REF!</f>
        <v>#REF!</v>
      </c>
      <c r="U16" s="290" t="e">
        <f>+'48-CK NSNN'!#REF!</f>
        <v>#REF!</v>
      </c>
      <c r="V16" s="290"/>
      <c r="W16" s="290"/>
      <c r="X16" s="266"/>
      <c r="Y16" s="266"/>
      <c r="Z16" s="266"/>
      <c r="AA16" s="266"/>
      <c r="AB16" s="266"/>
      <c r="AC16" s="266"/>
      <c r="AD16" s="291">
        <f>'[6]16-ThuNSNN2018'!$H$9</f>
        <v>73650</v>
      </c>
      <c r="AE16" s="291" t="e">
        <f t="shared" si="3"/>
        <v>#REF!</v>
      </c>
      <c r="AF16" s="291" t="e">
        <f t="shared" si="7"/>
        <v>#REF!</v>
      </c>
      <c r="AG16" s="291" t="e">
        <f>+AH16+AI16+AJ16+AK16+AL16+AM16+AO16+AP16+AN16</f>
        <v>#REF!</v>
      </c>
      <c r="AH16" s="291" t="e">
        <f>+'48-CK NSNN'!#REF!</f>
        <v>#REF!</v>
      </c>
      <c r="AI16" s="291" t="e">
        <f>+'48-CK NSNN'!#REF!</f>
        <v>#REF!</v>
      </c>
      <c r="AJ16" s="291" t="e">
        <f>+'48-CK NSNN'!#REF!</f>
        <v>#REF!</v>
      </c>
      <c r="AK16" s="291"/>
      <c r="AL16" s="291" t="e">
        <f>+'48-CK NSNN'!#REF!</f>
        <v>#REF!</v>
      </c>
      <c r="AM16" s="291">
        <f t="shared" si="8"/>
        <v>0</v>
      </c>
      <c r="AN16" s="291" t="e">
        <f t="shared" si="9"/>
        <v>#REF!</v>
      </c>
      <c r="AO16" s="291" t="e">
        <f t="shared" si="10"/>
        <v>#REF!</v>
      </c>
      <c r="AP16" s="291" t="e">
        <f>'48-CK NSNN'!#REF!-AQ16</f>
        <v>#REF!</v>
      </c>
      <c r="AQ16" s="291">
        <v>250</v>
      </c>
      <c r="AR16" s="291"/>
      <c r="AS16" s="291">
        <v>44750</v>
      </c>
      <c r="AT16" s="291">
        <f>AS16-'20 -DG thu H 2017'!D18</f>
        <v>39750</v>
      </c>
      <c r="AU16" s="291" t="e">
        <f t="shared" si="11"/>
        <v>#REF!</v>
      </c>
      <c r="AV16" s="291" t="e">
        <f t="shared" si="12"/>
        <v>#REF!</v>
      </c>
      <c r="AX16" s="291" t="e">
        <f t="shared" si="13"/>
        <v>#REF!</v>
      </c>
      <c r="AY16" s="291" t="e">
        <f>'32-DT thu H'!T16</f>
        <v>#REF!</v>
      </c>
      <c r="AZ16" s="304" t="e">
        <f t="shared" si="14"/>
        <v>#REF!</v>
      </c>
      <c r="BA16" s="291" t="e">
        <f t="shared" si="15"/>
        <v>#REF!</v>
      </c>
    </row>
    <row r="17" spans="1:53" s="268" customFormat="1" ht="14.25" customHeight="1">
      <c r="A17" s="265">
        <v>9</v>
      </c>
      <c r="B17" s="266" t="s">
        <v>924</v>
      </c>
      <c r="C17" s="290" t="e">
        <f t="shared" si="5"/>
        <v>#REF!</v>
      </c>
      <c r="D17" s="290" t="e">
        <f t="shared" si="6"/>
        <v>#REF!</v>
      </c>
      <c r="E17" s="290" t="e">
        <f>'48-CK NSNN'!#REF!</f>
        <v>#REF!</v>
      </c>
      <c r="F17" s="290" t="e">
        <f>'48-CK NSNN'!#REF!</f>
        <v>#REF!</v>
      </c>
      <c r="G17" s="290" t="e">
        <f>'48-CK NSNN'!#REF!</f>
        <v>#REF!</v>
      </c>
      <c r="H17" s="290" t="e">
        <f>'48-CK NSNN'!#REF!</f>
        <v>#REF!</v>
      </c>
      <c r="I17" s="290" t="e">
        <f>'48-CK NSNN'!#REF!</f>
        <v>#REF!</v>
      </c>
      <c r="J17" s="290" t="e">
        <f>'48-CK NSNN'!#REF!</f>
        <v>#REF!</v>
      </c>
      <c r="K17" s="290" t="e">
        <f>'48-CK NSNN'!#REF!</f>
        <v>#REF!</v>
      </c>
      <c r="L17" s="290" t="e">
        <f>+'48-CK NSNN'!#REF!</f>
        <v>#REF!</v>
      </c>
      <c r="M17" s="290" t="e">
        <f>+'48-CK NSNN'!#REF!</f>
        <v>#REF!</v>
      </c>
      <c r="N17" s="290" t="e">
        <f>+'48-CK NSNN'!#REF!</f>
        <v>#REF!</v>
      </c>
      <c r="O17" s="290" t="e">
        <f>+'48-CK NSNN'!#REF!</f>
        <v>#REF!</v>
      </c>
      <c r="P17" s="290" t="e">
        <f>+'48-CK NSNN'!#REF!</f>
        <v>#REF!</v>
      </c>
      <c r="Q17" s="290" t="e">
        <f>+'48-CK NSNN'!#REF!</f>
        <v>#REF!</v>
      </c>
      <c r="R17" s="290" t="e">
        <f>+'48-CK NSNN'!#REF!</f>
        <v>#REF!</v>
      </c>
      <c r="S17" s="290" t="e">
        <f>+'48-CK NSNN'!#REF!</f>
        <v>#REF!</v>
      </c>
      <c r="T17" s="290" t="e">
        <f>+'48-CK NSNN'!#REF!</f>
        <v>#REF!</v>
      </c>
      <c r="U17" s="290" t="e">
        <f>+'48-CK NSNN'!#REF!</f>
        <v>#REF!</v>
      </c>
      <c r="V17" s="290"/>
      <c r="W17" s="290"/>
      <c r="X17" s="266"/>
      <c r="Y17" s="266"/>
      <c r="Z17" s="266"/>
      <c r="AA17" s="266"/>
      <c r="AB17" s="266"/>
      <c r="AC17" s="266"/>
      <c r="AD17" s="291"/>
      <c r="AE17" s="291" t="e">
        <f t="shared" si="3"/>
        <v>#REF!</v>
      </c>
      <c r="AF17" s="291" t="e">
        <f t="shared" si="7"/>
        <v>#REF!</v>
      </c>
      <c r="AG17" s="291" t="e">
        <f t="shared" si="4"/>
        <v>#REF!</v>
      </c>
      <c r="AH17" s="291" t="e">
        <f>+'48-CK NSNN'!#REF!</f>
        <v>#REF!</v>
      </c>
      <c r="AI17" s="291" t="e">
        <f>+'48-CK NSNN'!#REF!</f>
        <v>#REF!</v>
      </c>
      <c r="AJ17" s="291" t="e">
        <f>+'48-CK NSNN'!#REF!</f>
        <v>#REF!</v>
      </c>
      <c r="AK17" s="291"/>
      <c r="AL17" s="291" t="e">
        <f>+'48-CK NSNN'!#REF!</f>
        <v>#REF!</v>
      </c>
      <c r="AM17" s="291">
        <f t="shared" si="8"/>
        <v>0</v>
      </c>
      <c r="AN17" s="291" t="e">
        <f t="shared" si="9"/>
        <v>#REF!</v>
      </c>
      <c r="AO17" s="291" t="e">
        <f t="shared" si="10"/>
        <v>#REF!</v>
      </c>
      <c r="AP17" s="291" t="e">
        <f>'48-CK NSNN'!#REF!-AQ17</f>
        <v>#REF!</v>
      </c>
      <c r="AQ17" s="250">
        <v>600</v>
      </c>
      <c r="AR17" s="291"/>
      <c r="AS17" s="291">
        <v>153800</v>
      </c>
      <c r="AT17" s="291">
        <f>AS17-'20 -DG thu H 2017'!D19</f>
        <v>131800</v>
      </c>
      <c r="AU17" s="291" t="e">
        <f t="shared" si="11"/>
        <v>#REF!</v>
      </c>
      <c r="AV17" s="291" t="e">
        <f t="shared" si="12"/>
        <v>#REF!</v>
      </c>
      <c r="AX17" s="291" t="e">
        <f t="shared" si="13"/>
        <v>#REF!</v>
      </c>
      <c r="AY17" s="291" t="e">
        <f>'32-DT thu H'!T17</f>
        <v>#REF!</v>
      </c>
      <c r="AZ17" s="304" t="e">
        <f t="shared" si="14"/>
        <v>#REF!</v>
      </c>
      <c r="BA17" s="291" t="e">
        <f t="shared" si="15"/>
        <v>#REF!</v>
      </c>
    </row>
    <row r="18" spans="1:53" s="268" customFormat="1" ht="14.25" customHeight="1">
      <c r="A18" s="265">
        <v>10</v>
      </c>
      <c r="B18" s="266" t="s">
        <v>925</v>
      </c>
      <c r="C18" s="290" t="e">
        <f t="shared" si="5"/>
        <v>#REF!</v>
      </c>
      <c r="D18" s="290" t="e">
        <f t="shared" si="6"/>
        <v>#REF!</v>
      </c>
      <c r="E18" s="290" t="e">
        <f>'48-CK NSNN'!#REF!</f>
        <v>#REF!</v>
      </c>
      <c r="F18" s="290" t="e">
        <f>'48-CK NSNN'!#REF!</f>
        <v>#REF!</v>
      </c>
      <c r="G18" s="290" t="e">
        <f>'48-CK NSNN'!#REF!</f>
        <v>#REF!</v>
      </c>
      <c r="H18" s="290" t="e">
        <f>'48-CK NSNN'!#REF!</f>
        <v>#REF!</v>
      </c>
      <c r="I18" s="290" t="e">
        <f>'48-CK NSNN'!#REF!</f>
        <v>#REF!</v>
      </c>
      <c r="J18" s="290" t="e">
        <f>'48-CK NSNN'!#REF!</f>
        <v>#REF!</v>
      </c>
      <c r="K18" s="290" t="e">
        <f>'48-CK NSNN'!#REF!</f>
        <v>#REF!</v>
      </c>
      <c r="L18" s="290" t="e">
        <f>+'48-CK NSNN'!#REF!</f>
        <v>#REF!</v>
      </c>
      <c r="M18" s="290" t="e">
        <f>+'48-CK NSNN'!#REF!</f>
        <v>#REF!</v>
      </c>
      <c r="N18" s="290" t="e">
        <f>+'48-CK NSNN'!#REF!</f>
        <v>#REF!</v>
      </c>
      <c r="O18" s="290" t="e">
        <f>+'48-CK NSNN'!#REF!</f>
        <v>#REF!</v>
      </c>
      <c r="P18" s="290" t="e">
        <f>+'48-CK NSNN'!#REF!</f>
        <v>#REF!</v>
      </c>
      <c r="Q18" s="290" t="e">
        <f>+'48-CK NSNN'!#REF!</f>
        <v>#REF!</v>
      </c>
      <c r="R18" s="290" t="e">
        <f>+'48-CK NSNN'!#REF!</f>
        <v>#REF!</v>
      </c>
      <c r="S18" s="290" t="e">
        <f>+'48-CK NSNN'!#REF!</f>
        <v>#REF!</v>
      </c>
      <c r="T18" s="290" t="e">
        <f>+'48-CK NSNN'!#REF!</f>
        <v>#REF!</v>
      </c>
      <c r="U18" s="290" t="e">
        <f>+'48-CK NSNN'!#REF!</f>
        <v>#REF!</v>
      </c>
      <c r="V18" s="290"/>
      <c r="W18" s="290"/>
      <c r="X18" s="266"/>
      <c r="Y18" s="266"/>
      <c r="Z18" s="266"/>
      <c r="AA18" s="266"/>
      <c r="AB18" s="266"/>
      <c r="AC18" s="266"/>
      <c r="AD18" s="291"/>
      <c r="AE18" s="291" t="e">
        <f t="shared" si="3"/>
        <v>#REF!</v>
      </c>
      <c r="AF18" s="291" t="e">
        <f t="shared" si="7"/>
        <v>#REF!</v>
      </c>
      <c r="AG18" s="291" t="e">
        <f t="shared" si="4"/>
        <v>#REF!</v>
      </c>
      <c r="AH18" s="291" t="e">
        <f>+'48-CK NSNN'!#REF!</f>
        <v>#REF!</v>
      </c>
      <c r="AI18" s="291" t="e">
        <f>+'48-CK NSNN'!#REF!</f>
        <v>#REF!</v>
      </c>
      <c r="AJ18" s="291" t="e">
        <f>+'48-CK NSNN'!#REF!</f>
        <v>#REF!</v>
      </c>
      <c r="AK18" s="291"/>
      <c r="AL18" s="291" t="e">
        <f>+'48-CK NSNN'!#REF!</f>
        <v>#REF!</v>
      </c>
      <c r="AM18" s="291">
        <f t="shared" si="8"/>
        <v>0</v>
      </c>
      <c r="AN18" s="291" t="e">
        <f t="shared" si="9"/>
        <v>#REF!</v>
      </c>
      <c r="AO18" s="291" t="e">
        <f t="shared" si="10"/>
        <v>#REF!</v>
      </c>
      <c r="AP18" s="291" t="e">
        <f>'48-CK NSNN'!#REF!-AQ18</f>
        <v>#REF!</v>
      </c>
      <c r="AQ18" s="250">
        <v>0</v>
      </c>
      <c r="AR18" s="291"/>
      <c r="AS18" s="291">
        <v>190500</v>
      </c>
      <c r="AT18" s="291">
        <f>AS18-'20 -DG thu H 2017'!D20</f>
        <v>170500</v>
      </c>
      <c r="AU18" s="291" t="e">
        <f t="shared" si="11"/>
        <v>#REF!</v>
      </c>
      <c r="AV18" s="291" t="e">
        <f t="shared" si="12"/>
        <v>#REF!</v>
      </c>
      <c r="AX18" s="291" t="e">
        <f t="shared" si="13"/>
        <v>#REF!</v>
      </c>
      <c r="AY18" s="291" t="e">
        <f>'32-DT thu H'!T18</f>
        <v>#REF!</v>
      </c>
      <c r="AZ18" s="304" t="e">
        <f t="shared" si="14"/>
        <v>#REF!</v>
      </c>
      <c r="BA18" s="291" t="e">
        <f t="shared" si="15"/>
        <v>#REF!</v>
      </c>
    </row>
    <row r="19" spans="1:53" s="268" customFormat="1" ht="14.25" customHeight="1">
      <c r="A19" s="265">
        <v>11</v>
      </c>
      <c r="B19" s="266" t="s">
        <v>926</v>
      </c>
      <c r="C19" s="290" t="e">
        <f t="shared" si="5"/>
        <v>#REF!</v>
      </c>
      <c r="D19" s="290" t="e">
        <f t="shared" si="6"/>
        <v>#REF!</v>
      </c>
      <c r="E19" s="290" t="e">
        <f>'48-CK NSNN'!#REF!</f>
        <v>#REF!</v>
      </c>
      <c r="F19" s="290" t="e">
        <f>'48-CK NSNN'!#REF!</f>
        <v>#REF!</v>
      </c>
      <c r="G19" s="290" t="e">
        <f>'48-CK NSNN'!#REF!</f>
        <v>#REF!</v>
      </c>
      <c r="H19" s="290" t="e">
        <f>'48-CK NSNN'!#REF!</f>
        <v>#REF!</v>
      </c>
      <c r="I19" s="290" t="e">
        <f>'48-CK NSNN'!#REF!</f>
        <v>#REF!</v>
      </c>
      <c r="J19" s="290" t="e">
        <f>'48-CK NSNN'!#REF!</f>
        <v>#REF!</v>
      </c>
      <c r="K19" s="290" t="e">
        <f>'48-CK NSNN'!#REF!</f>
        <v>#REF!</v>
      </c>
      <c r="L19" s="290" t="e">
        <f>+'48-CK NSNN'!#REF!</f>
        <v>#REF!</v>
      </c>
      <c r="M19" s="290" t="e">
        <f>+'48-CK NSNN'!#REF!</f>
        <v>#REF!</v>
      </c>
      <c r="N19" s="290" t="e">
        <f>+'48-CK NSNN'!#REF!</f>
        <v>#REF!</v>
      </c>
      <c r="O19" s="290" t="e">
        <f>+'48-CK NSNN'!#REF!</f>
        <v>#REF!</v>
      </c>
      <c r="P19" s="290" t="e">
        <f>+'48-CK NSNN'!#REF!</f>
        <v>#REF!</v>
      </c>
      <c r="Q19" s="290" t="e">
        <f>+'48-CK NSNN'!#REF!</f>
        <v>#REF!</v>
      </c>
      <c r="R19" s="290" t="e">
        <f>+'48-CK NSNN'!#REF!</f>
        <v>#REF!</v>
      </c>
      <c r="S19" s="290" t="e">
        <f>+'48-CK NSNN'!#REF!</f>
        <v>#REF!</v>
      </c>
      <c r="T19" s="290" t="e">
        <f>+'48-CK NSNN'!#REF!</f>
        <v>#REF!</v>
      </c>
      <c r="U19" s="290" t="e">
        <f>+'48-CK NSNN'!#REF!</f>
        <v>#REF!</v>
      </c>
      <c r="V19" s="290"/>
      <c r="W19" s="290"/>
      <c r="X19" s="266"/>
      <c r="Y19" s="266"/>
      <c r="Z19" s="266"/>
      <c r="AA19" s="266"/>
      <c r="AB19" s="266"/>
      <c r="AC19" s="266"/>
      <c r="AD19" s="291">
        <f>'[7]16-ThuNSNN2018'!$H$9</f>
        <v>57050</v>
      </c>
      <c r="AE19" s="291" t="e">
        <f t="shared" si="3"/>
        <v>#REF!</v>
      </c>
      <c r="AF19" s="291" t="e">
        <f t="shared" si="7"/>
        <v>#REF!</v>
      </c>
      <c r="AG19" s="291" t="e">
        <f>+AH19+AI19+AJ19+AK19+AL19+AM19+AO19+AP19+AN19</f>
        <v>#REF!</v>
      </c>
      <c r="AH19" s="291" t="e">
        <f>+'48-CK NSNN'!#REF!</f>
        <v>#REF!</v>
      </c>
      <c r="AI19" s="291" t="e">
        <f>+'48-CK NSNN'!#REF!</f>
        <v>#REF!</v>
      </c>
      <c r="AJ19" s="291" t="e">
        <f>+'48-CK NSNN'!#REF!</f>
        <v>#REF!</v>
      </c>
      <c r="AK19" s="291"/>
      <c r="AL19" s="291" t="e">
        <f>+'48-CK NSNN'!#REF!</f>
        <v>#REF!</v>
      </c>
      <c r="AM19" s="291">
        <f t="shared" si="8"/>
        <v>0</v>
      </c>
      <c r="AN19" s="291" t="e">
        <f t="shared" si="9"/>
        <v>#REF!</v>
      </c>
      <c r="AO19" s="291" t="e">
        <f t="shared" si="10"/>
        <v>#REF!</v>
      </c>
      <c r="AP19" s="291" t="e">
        <f>'48-CK NSNN'!#REF!-AQ19</f>
        <v>#REF!</v>
      </c>
      <c r="AQ19" s="250">
        <v>600</v>
      </c>
      <c r="AR19" s="291"/>
      <c r="AS19" s="291">
        <v>46100</v>
      </c>
      <c r="AT19" s="291">
        <f>AS19-'20 -DG thu H 2017'!D21</f>
        <v>38100</v>
      </c>
      <c r="AU19" s="291" t="e">
        <f t="shared" si="11"/>
        <v>#REF!</v>
      </c>
      <c r="AV19" s="443" t="e">
        <f t="shared" si="12"/>
        <v>#REF!</v>
      </c>
      <c r="AX19" s="291" t="e">
        <f t="shared" si="13"/>
        <v>#REF!</v>
      </c>
      <c r="AY19" s="291" t="e">
        <f>'32-DT thu H'!T19</f>
        <v>#REF!</v>
      </c>
      <c r="AZ19" s="304" t="e">
        <f t="shared" si="14"/>
        <v>#REF!</v>
      </c>
      <c r="BA19" s="291" t="e">
        <f t="shared" si="15"/>
        <v>#REF!</v>
      </c>
    </row>
    <row r="20" spans="1:53" s="268" customFormat="1" ht="14.25" customHeight="1">
      <c r="A20" s="265">
        <v>12</v>
      </c>
      <c r="B20" s="266" t="s">
        <v>927</v>
      </c>
      <c r="C20" s="290" t="e">
        <f t="shared" si="5"/>
        <v>#REF!</v>
      </c>
      <c r="D20" s="290" t="e">
        <f t="shared" si="6"/>
        <v>#REF!</v>
      </c>
      <c r="E20" s="290" t="e">
        <f>'48-CK NSNN'!#REF!</f>
        <v>#REF!</v>
      </c>
      <c r="F20" s="290" t="e">
        <f>'48-CK NSNN'!#REF!</f>
        <v>#REF!</v>
      </c>
      <c r="G20" s="290" t="e">
        <f>'48-CK NSNN'!#REF!</f>
        <v>#REF!</v>
      </c>
      <c r="H20" s="290" t="e">
        <f>'48-CK NSNN'!#REF!</f>
        <v>#REF!</v>
      </c>
      <c r="I20" s="290" t="e">
        <f>'48-CK NSNN'!#REF!</f>
        <v>#REF!</v>
      </c>
      <c r="J20" s="290" t="e">
        <f>'48-CK NSNN'!#REF!</f>
        <v>#REF!</v>
      </c>
      <c r="K20" s="290" t="e">
        <f>'48-CK NSNN'!#REF!</f>
        <v>#REF!</v>
      </c>
      <c r="L20" s="290" t="e">
        <f>+'48-CK NSNN'!#REF!</f>
        <v>#REF!</v>
      </c>
      <c r="M20" s="290" t="e">
        <f>+'48-CK NSNN'!#REF!</f>
        <v>#REF!</v>
      </c>
      <c r="N20" s="290" t="e">
        <f>+'48-CK NSNN'!#REF!</f>
        <v>#REF!</v>
      </c>
      <c r="O20" s="290" t="e">
        <f>+'48-CK NSNN'!#REF!</f>
        <v>#REF!</v>
      </c>
      <c r="P20" s="290" t="e">
        <f>+'48-CK NSNN'!#REF!</f>
        <v>#REF!</v>
      </c>
      <c r="Q20" s="290" t="e">
        <f>+'48-CK NSNN'!#REF!</f>
        <v>#REF!</v>
      </c>
      <c r="R20" s="290" t="e">
        <f>+'48-CK NSNN'!#REF!</f>
        <v>#REF!</v>
      </c>
      <c r="S20" s="290" t="e">
        <f>+'48-CK NSNN'!#REF!</f>
        <v>#REF!</v>
      </c>
      <c r="T20" s="290" t="e">
        <f>+'48-CK NSNN'!#REF!</f>
        <v>#REF!</v>
      </c>
      <c r="U20" s="290" t="e">
        <f>+'48-CK NSNN'!#REF!</f>
        <v>#REF!</v>
      </c>
      <c r="V20" s="290"/>
      <c r="W20" s="290"/>
      <c r="X20" s="266"/>
      <c r="Y20" s="266"/>
      <c r="Z20" s="266"/>
      <c r="AA20" s="266"/>
      <c r="AB20" s="266"/>
      <c r="AC20" s="266"/>
      <c r="AD20" s="291">
        <f>'[8]16-ThuNSNN2018'!$H$9</f>
        <v>55000</v>
      </c>
      <c r="AE20" s="291" t="e">
        <f t="shared" si="3"/>
        <v>#REF!</v>
      </c>
      <c r="AF20" s="291" t="e">
        <f t="shared" si="7"/>
        <v>#REF!</v>
      </c>
      <c r="AG20" s="291" t="e">
        <f t="shared" ref="AG20:AG23" si="16">+AH20+AI20+AJ20+AK20+AL20+AM20+AO20+AP20+AN20</f>
        <v>#REF!</v>
      </c>
      <c r="AH20" s="291" t="e">
        <f>+'48-CK NSNN'!#REF!</f>
        <v>#REF!</v>
      </c>
      <c r="AI20" s="291" t="e">
        <f>+'48-CK NSNN'!#REF!</f>
        <v>#REF!</v>
      </c>
      <c r="AJ20" s="291" t="e">
        <f>+'48-CK NSNN'!#REF!</f>
        <v>#REF!</v>
      </c>
      <c r="AK20" s="291"/>
      <c r="AL20" s="291" t="e">
        <f>+'48-CK NSNN'!#REF!</f>
        <v>#REF!</v>
      </c>
      <c r="AM20" s="291">
        <f t="shared" si="8"/>
        <v>0</v>
      </c>
      <c r="AN20" s="291" t="e">
        <f t="shared" si="9"/>
        <v>#REF!</v>
      </c>
      <c r="AO20" s="291" t="e">
        <f t="shared" si="10"/>
        <v>#REF!</v>
      </c>
      <c r="AP20" s="291" t="e">
        <f>+'48-CK NSNN'!#REF!-AQ20</f>
        <v>#REF!</v>
      </c>
      <c r="AQ20" s="250">
        <v>0</v>
      </c>
      <c r="AR20" s="291"/>
      <c r="AS20" s="291">
        <v>48600</v>
      </c>
      <c r="AT20" s="291">
        <f>AS20-'20 -DG thu H 2017'!D22</f>
        <v>43100</v>
      </c>
      <c r="AU20" s="291" t="e">
        <f t="shared" si="11"/>
        <v>#REF!</v>
      </c>
      <c r="AV20" s="443" t="e">
        <f t="shared" si="12"/>
        <v>#REF!</v>
      </c>
      <c r="AX20" s="291" t="e">
        <f t="shared" si="13"/>
        <v>#REF!</v>
      </c>
      <c r="AY20" s="291" t="e">
        <f>'32-DT thu H'!T20</f>
        <v>#REF!</v>
      </c>
      <c r="AZ20" s="304" t="e">
        <f t="shared" si="14"/>
        <v>#REF!</v>
      </c>
      <c r="BA20" s="291" t="e">
        <f t="shared" si="15"/>
        <v>#REF!</v>
      </c>
    </row>
    <row r="21" spans="1:53" s="268" customFormat="1" ht="14.25" customHeight="1">
      <c r="A21" s="265">
        <v>13</v>
      </c>
      <c r="B21" s="266" t="s">
        <v>928</v>
      </c>
      <c r="C21" s="290" t="e">
        <f t="shared" si="5"/>
        <v>#REF!</v>
      </c>
      <c r="D21" s="290" t="e">
        <f t="shared" si="6"/>
        <v>#REF!</v>
      </c>
      <c r="E21" s="290" t="e">
        <f>'48-CK NSNN'!#REF!</f>
        <v>#REF!</v>
      </c>
      <c r="F21" s="290" t="e">
        <f>'48-CK NSNN'!#REF!</f>
        <v>#REF!</v>
      </c>
      <c r="G21" s="290" t="e">
        <f>'48-CK NSNN'!#REF!</f>
        <v>#REF!</v>
      </c>
      <c r="H21" s="290" t="e">
        <f>'48-CK NSNN'!#REF!</f>
        <v>#REF!</v>
      </c>
      <c r="I21" s="290" t="e">
        <f>'48-CK NSNN'!#REF!</f>
        <v>#REF!</v>
      </c>
      <c r="J21" s="290" t="e">
        <f>'48-CK NSNN'!#REF!</f>
        <v>#REF!</v>
      </c>
      <c r="K21" s="290" t="e">
        <f>'48-CK NSNN'!#REF!</f>
        <v>#REF!</v>
      </c>
      <c r="L21" s="290" t="e">
        <f>+'48-CK NSNN'!#REF!</f>
        <v>#REF!</v>
      </c>
      <c r="M21" s="290" t="e">
        <f>+'48-CK NSNN'!#REF!</f>
        <v>#REF!</v>
      </c>
      <c r="N21" s="290" t="e">
        <f>+'48-CK NSNN'!#REF!</f>
        <v>#REF!</v>
      </c>
      <c r="O21" s="290" t="e">
        <f>+'48-CK NSNN'!#REF!</f>
        <v>#REF!</v>
      </c>
      <c r="P21" s="290" t="e">
        <f>+'48-CK NSNN'!#REF!</f>
        <v>#REF!</v>
      </c>
      <c r="Q21" s="290" t="e">
        <f>+'48-CK NSNN'!#REF!</f>
        <v>#REF!</v>
      </c>
      <c r="R21" s="290" t="e">
        <f>+'48-CK NSNN'!#REF!</f>
        <v>#REF!</v>
      </c>
      <c r="S21" s="290" t="e">
        <f>+'48-CK NSNN'!#REF!</f>
        <v>#REF!</v>
      </c>
      <c r="T21" s="290" t="e">
        <f>+'48-CK NSNN'!#REF!</f>
        <v>#REF!</v>
      </c>
      <c r="U21" s="290" t="e">
        <f>+'48-CK NSNN'!#REF!</f>
        <v>#REF!</v>
      </c>
      <c r="V21" s="290"/>
      <c r="W21" s="290"/>
      <c r="X21" s="266"/>
      <c r="Y21" s="266"/>
      <c r="Z21" s="266"/>
      <c r="AA21" s="266"/>
      <c r="AB21" s="266"/>
      <c r="AC21" s="266"/>
      <c r="AD21" s="291">
        <v>19560</v>
      </c>
      <c r="AE21" s="291" t="e">
        <f t="shared" si="3"/>
        <v>#REF!</v>
      </c>
      <c r="AF21" s="291" t="e">
        <f t="shared" si="7"/>
        <v>#REF!</v>
      </c>
      <c r="AG21" s="291" t="e">
        <f t="shared" si="16"/>
        <v>#REF!</v>
      </c>
      <c r="AH21" s="291" t="e">
        <f>+'48-CK NSNN'!#REF!</f>
        <v>#REF!</v>
      </c>
      <c r="AI21" s="291" t="e">
        <f>+'48-CK NSNN'!#REF!</f>
        <v>#REF!</v>
      </c>
      <c r="AJ21" s="291" t="e">
        <f>+'48-CK NSNN'!#REF!</f>
        <v>#REF!</v>
      </c>
      <c r="AK21" s="291"/>
      <c r="AL21" s="291" t="e">
        <f>+'48-CK NSNN'!#REF!</f>
        <v>#REF!</v>
      </c>
      <c r="AM21" s="291">
        <f t="shared" si="8"/>
        <v>0</v>
      </c>
      <c r="AN21" s="291" t="e">
        <f t="shared" si="9"/>
        <v>#REF!</v>
      </c>
      <c r="AO21" s="291" t="e">
        <f t="shared" si="10"/>
        <v>#REF!</v>
      </c>
      <c r="AP21" s="291" t="e">
        <f>+'48-CK NSNN'!#REF!-AQ21</f>
        <v>#REF!</v>
      </c>
      <c r="AQ21" s="250">
        <v>0</v>
      </c>
      <c r="AR21" s="291"/>
      <c r="AS21" s="291">
        <v>18650</v>
      </c>
      <c r="AT21" s="291">
        <f>AS21-'20 -DG thu H 2017'!D23</f>
        <v>14650</v>
      </c>
      <c r="AU21" s="291" t="e">
        <f t="shared" si="11"/>
        <v>#REF!</v>
      </c>
      <c r="AV21" s="443" t="e">
        <f t="shared" si="12"/>
        <v>#REF!</v>
      </c>
      <c r="AX21" s="291" t="e">
        <f t="shared" si="13"/>
        <v>#REF!</v>
      </c>
      <c r="AY21" s="291" t="e">
        <f>'32-DT thu H'!T21</f>
        <v>#REF!</v>
      </c>
      <c r="AZ21" s="304" t="e">
        <f t="shared" si="14"/>
        <v>#REF!</v>
      </c>
      <c r="BA21" s="291" t="e">
        <f t="shared" si="15"/>
        <v>#REF!</v>
      </c>
    </row>
    <row r="22" spans="1:53" s="268" customFormat="1" ht="14.25" customHeight="1">
      <c r="A22" s="265">
        <v>14</v>
      </c>
      <c r="B22" s="266" t="s">
        <v>929</v>
      </c>
      <c r="C22" s="290" t="e">
        <f t="shared" si="5"/>
        <v>#REF!</v>
      </c>
      <c r="D22" s="290" t="e">
        <f t="shared" si="6"/>
        <v>#REF!</v>
      </c>
      <c r="E22" s="290" t="e">
        <f>'48-CK NSNN'!#REF!</f>
        <v>#REF!</v>
      </c>
      <c r="F22" s="290" t="e">
        <f>'48-CK NSNN'!#REF!</f>
        <v>#REF!</v>
      </c>
      <c r="G22" s="290" t="e">
        <f>'48-CK NSNN'!#REF!</f>
        <v>#REF!</v>
      </c>
      <c r="H22" s="290" t="e">
        <f>'48-CK NSNN'!#REF!</f>
        <v>#REF!</v>
      </c>
      <c r="I22" s="290" t="e">
        <f>'48-CK NSNN'!#REF!</f>
        <v>#REF!</v>
      </c>
      <c r="J22" s="290" t="e">
        <f>'48-CK NSNN'!#REF!</f>
        <v>#REF!</v>
      </c>
      <c r="K22" s="290" t="e">
        <f>'48-CK NSNN'!#REF!</f>
        <v>#REF!</v>
      </c>
      <c r="L22" s="290" t="e">
        <f>+'48-CK NSNN'!#REF!</f>
        <v>#REF!</v>
      </c>
      <c r="M22" s="290" t="e">
        <f>+'48-CK NSNN'!#REF!</f>
        <v>#REF!</v>
      </c>
      <c r="N22" s="290" t="e">
        <f>+'48-CK NSNN'!#REF!</f>
        <v>#REF!</v>
      </c>
      <c r="O22" s="290" t="e">
        <f>+'48-CK NSNN'!#REF!</f>
        <v>#REF!</v>
      </c>
      <c r="P22" s="290" t="e">
        <f>+'48-CK NSNN'!#REF!</f>
        <v>#REF!</v>
      </c>
      <c r="Q22" s="290" t="e">
        <f>+'48-CK NSNN'!#REF!</f>
        <v>#REF!</v>
      </c>
      <c r="R22" s="290" t="e">
        <f>+'48-CK NSNN'!#REF!</f>
        <v>#REF!</v>
      </c>
      <c r="S22" s="290" t="e">
        <f>+'48-CK NSNN'!#REF!</f>
        <v>#REF!</v>
      </c>
      <c r="T22" s="290" t="e">
        <f>+'48-CK NSNN'!#REF!</f>
        <v>#REF!</v>
      </c>
      <c r="U22" s="290" t="e">
        <f>+'48-CK NSNN'!#REF!</f>
        <v>#REF!</v>
      </c>
      <c r="V22" s="290"/>
      <c r="W22" s="290"/>
      <c r="X22" s="266"/>
      <c r="Y22" s="266"/>
      <c r="Z22" s="266"/>
      <c r="AA22" s="266"/>
      <c r="AB22" s="266"/>
      <c r="AC22" s="266"/>
      <c r="AD22" s="291">
        <v>47100</v>
      </c>
      <c r="AE22" s="291" t="e">
        <f t="shared" si="3"/>
        <v>#REF!</v>
      </c>
      <c r="AF22" s="291" t="e">
        <f t="shared" si="7"/>
        <v>#REF!</v>
      </c>
      <c r="AG22" s="291" t="e">
        <f t="shared" si="16"/>
        <v>#REF!</v>
      </c>
      <c r="AH22" s="291" t="e">
        <f>+'48-CK NSNN'!#REF!</f>
        <v>#REF!</v>
      </c>
      <c r="AI22" s="291" t="e">
        <f>+'48-CK NSNN'!#REF!</f>
        <v>#REF!</v>
      </c>
      <c r="AJ22" s="291" t="e">
        <f>+'48-CK NSNN'!#REF!</f>
        <v>#REF!</v>
      </c>
      <c r="AK22" s="291"/>
      <c r="AL22" s="291" t="e">
        <f>+'48-CK NSNN'!#REF!</f>
        <v>#REF!</v>
      </c>
      <c r="AM22" s="291">
        <f t="shared" si="8"/>
        <v>0</v>
      </c>
      <c r="AN22" s="291" t="e">
        <f t="shared" si="9"/>
        <v>#REF!</v>
      </c>
      <c r="AO22" s="291" t="e">
        <f t="shared" si="10"/>
        <v>#REF!</v>
      </c>
      <c r="AP22" s="291" t="e">
        <f>+'48-CK NSNN'!#REF!-AQ22</f>
        <v>#REF!</v>
      </c>
      <c r="AQ22" s="250">
        <v>3100</v>
      </c>
      <c r="AR22" s="291"/>
      <c r="AS22" s="291">
        <v>41000</v>
      </c>
      <c r="AT22" s="291">
        <f>AS22-'20 -DG thu H 2017'!D24</f>
        <v>35500</v>
      </c>
      <c r="AU22" s="291" t="e">
        <f t="shared" si="11"/>
        <v>#REF!</v>
      </c>
      <c r="AV22" s="443" t="e">
        <f t="shared" si="12"/>
        <v>#REF!</v>
      </c>
      <c r="AX22" s="291" t="e">
        <f t="shared" si="13"/>
        <v>#REF!</v>
      </c>
      <c r="AY22" s="291" t="e">
        <f>'32-DT thu H'!T22</f>
        <v>#REF!</v>
      </c>
      <c r="AZ22" s="304" t="e">
        <f t="shared" si="14"/>
        <v>#REF!</v>
      </c>
      <c r="BA22" s="291" t="e">
        <f t="shared" si="15"/>
        <v>#REF!</v>
      </c>
    </row>
    <row r="23" spans="1:53" s="268" customFormat="1" ht="14.25" customHeight="1">
      <c r="A23" s="265">
        <v>15</v>
      </c>
      <c r="B23" s="266" t="s">
        <v>930</v>
      </c>
      <c r="C23" s="290" t="e">
        <f t="shared" si="5"/>
        <v>#REF!</v>
      </c>
      <c r="D23" s="290" t="e">
        <f t="shared" si="6"/>
        <v>#REF!</v>
      </c>
      <c r="E23" s="290" t="e">
        <f>'48-CK NSNN'!#REF!</f>
        <v>#REF!</v>
      </c>
      <c r="F23" s="290" t="e">
        <f>'48-CK NSNN'!#REF!</f>
        <v>#REF!</v>
      </c>
      <c r="G23" s="290" t="e">
        <f>'48-CK NSNN'!#REF!</f>
        <v>#REF!</v>
      </c>
      <c r="H23" s="290" t="e">
        <f>'48-CK NSNN'!#REF!</f>
        <v>#REF!</v>
      </c>
      <c r="I23" s="290" t="e">
        <f>'48-CK NSNN'!#REF!</f>
        <v>#REF!</v>
      </c>
      <c r="J23" s="290" t="e">
        <f>'48-CK NSNN'!#REF!</f>
        <v>#REF!</v>
      </c>
      <c r="K23" s="290" t="e">
        <f>'48-CK NSNN'!#REF!</f>
        <v>#REF!</v>
      </c>
      <c r="L23" s="290" t="e">
        <f>+'48-CK NSNN'!#REF!</f>
        <v>#REF!</v>
      </c>
      <c r="M23" s="290" t="e">
        <f>+'48-CK NSNN'!#REF!</f>
        <v>#REF!</v>
      </c>
      <c r="N23" s="290" t="e">
        <f>+'48-CK NSNN'!#REF!</f>
        <v>#REF!</v>
      </c>
      <c r="O23" s="290" t="e">
        <f>+'48-CK NSNN'!#REF!</f>
        <v>#REF!</v>
      </c>
      <c r="P23" s="290" t="e">
        <f>+'48-CK NSNN'!#REF!</f>
        <v>#REF!</v>
      </c>
      <c r="Q23" s="290" t="e">
        <f>+'48-CK NSNN'!#REF!</f>
        <v>#REF!</v>
      </c>
      <c r="R23" s="290" t="e">
        <f>+'48-CK NSNN'!#REF!</f>
        <v>#REF!</v>
      </c>
      <c r="S23" s="290" t="e">
        <f>+'48-CK NSNN'!#REF!</f>
        <v>#REF!</v>
      </c>
      <c r="T23" s="290" t="e">
        <f>+'48-CK NSNN'!#REF!</f>
        <v>#REF!</v>
      </c>
      <c r="U23" s="290" t="e">
        <f>+'48-CK NSNN'!#REF!</f>
        <v>#REF!</v>
      </c>
      <c r="V23" s="290"/>
      <c r="W23" s="290"/>
      <c r="X23" s="266"/>
      <c r="Y23" s="266"/>
      <c r="Z23" s="266"/>
      <c r="AA23" s="266"/>
      <c r="AB23" s="266"/>
      <c r="AC23" s="266"/>
      <c r="AD23" s="291">
        <f>'[9]16-ThuNSNN2018'!$H$9</f>
        <v>46460</v>
      </c>
      <c r="AE23" s="291" t="e">
        <f t="shared" si="3"/>
        <v>#REF!</v>
      </c>
      <c r="AF23" s="291" t="e">
        <f t="shared" si="7"/>
        <v>#REF!</v>
      </c>
      <c r="AG23" s="291" t="e">
        <f t="shared" si="16"/>
        <v>#REF!</v>
      </c>
      <c r="AH23" s="291" t="e">
        <f>+'48-CK NSNN'!#REF!</f>
        <v>#REF!</v>
      </c>
      <c r="AI23" s="291" t="e">
        <f>+'48-CK NSNN'!#REF!</f>
        <v>#REF!</v>
      </c>
      <c r="AJ23" s="291" t="e">
        <f>+'48-CK NSNN'!#REF!</f>
        <v>#REF!</v>
      </c>
      <c r="AK23" s="291"/>
      <c r="AL23" s="291" t="e">
        <f>+'48-CK NSNN'!#REF!</f>
        <v>#REF!</v>
      </c>
      <c r="AM23" s="291">
        <f t="shared" si="8"/>
        <v>0</v>
      </c>
      <c r="AN23" s="291" t="e">
        <f t="shared" si="9"/>
        <v>#REF!</v>
      </c>
      <c r="AO23" s="291" t="e">
        <f t="shared" si="10"/>
        <v>#REF!</v>
      </c>
      <c r="AP23" s="291" t="e">
        <f>+'48-CK NSNN'!#REF!-AQ23</f>
        <v>#REF!</v>
      </c>
      <c r="AQ23" s="250">
        <v>2900</v>
      </c>
      <c r="AR23" s="291"/>
      <c r="AS23" s="291">
        <v>37050</v>
      </c>
      <c r="AT23" s="291">
        <f>AS23-'20 -DG thu H 2017'!D25</f>
        <v>30050</v>
      </c>
      <c r="AU23" s="291" t="e">
        <f t="shared" si="11"/>
        <v>#REF!</v>
      </c>
      <c r="AV23" s="291" t="e">
        <f t="shared" si="12"/>
        <v>#REF!</v>
      </c>
      <c r="AX23" s="291" t="e">
        <f t="shared" si="13"/>
        <v>#REF!</v>
      </c>
      <c r="AY23" s="291" t="e">
        <f>'32-DT thu H'!T23</f>
        <v>#REF!</v>
      </c>
      <c r="AZ23" s="304" t="e">
        <f t="shared" si="14"/>
        <v>#REF!</v>
      </c>
      <c r="BA23" s="291" t="e">
        <f t="shared" si="15"/>
        <v>#REF!</v>
      </c>
    </row>
    <row r="24" spans="1:53" ht="14.25" customHeight="1">
      <c r="A24" s="65"/>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row>
    <row r="25" spans="1:53" ht="14.25" hidden="1" customHeight="1">
      <c r="A25" s="16" t="s">
        <v>488</v>
      </c>
    </row>
    <row r="26" spans="1:53" ht="14.25" hidden="1" customHeight="1">
      <c r="A26" s="6" t="s">
        <v>486</v>
      </c>
    </row>
    <row r="27" spans="1:53" ht="14.25" hidden="1" customHeight="1">
      <c r="A27" s="6" t="s">
        <v>487</v>
      </c>
    </row>
    <row r="28" spans="1:53" ht="14.25" hidden="1" customHeight="1"/>
    <row r="29" spans="1:53" ht="14.25" hidden="1" customHeight="1"/>
    <row r="30" spans="1:53" ht="14.25" hidden="1" customHeight="1"/>
    <row r="32" spans="1:53" ht="14.25" customHeight="1">
      <c r="B32" s="1" t="s">
        <v>1049</v>
      </c>
    </row>
    <row r="33" spans="1:48" ht="14.25" customHeight="1">
      <c r="A33" s="55"/>
      <c r="B33" s="56" t="s">
        <v>473</v>
      </c>
      <c r="C33" s="136">
        <f>D33+V33+W33</f>
        <v>2001425</v>
      </c>
      <c r="D33" s="136">
        <f>SUM(D34:D48)</f>
        <v>2001425</v>
      </c>
      <c r="E33" s="136">
        <f t="shared" ref="E33:W33" si="17">SUM(E34:E48)</f>
        <v>0</v>
      </c>
      <c r="F33" s="136">
        <f t="shared" si="17"/>
        <v>49940</v>
      </c>
      <c r="G33" s="136">
        <f t="shared" si="17"/>
        <v>350</v>
      </c>
      <c r="H33" s="136">
        <f t="shared" si="17"/>
        <v>621461</v>
      </c>
      <c r="I33" s="136">
        <f t="shared" si="17"/>
        <v>231800</v>
      </c>
      <c r="J33" s="136">
        <f t="shared" si="17"/>
        <v>3156</v>
      </c>
      <c r="K33" s="136">
        <f t="shared" si="17"/>
        <v>229200</v>
      </c>
      <c r="L33" s="136">
        <f t="shared" si="17"/>
        <v>85809</v>
      </c>
      <c r="M33" s="136">
        <f t="shared" si="17"/>
        <v>393</v>
      </c>
      <c r="N33" s="136">
        <f t="shared" si="17"/>
        <v>25825</v>
      </c>
      <c r="O33" s="136">
        <f t="shared" si="17"/>
        <v>39875</v>
      </c>
      <c r="P33" s="136">
        <f t="shared" si="17"/>
        <v>542637</v>
      </c>
      <c r="Q33" s="136">
        <f t="shared" si="17"/>
        <v>90</v>
      </c>
      <c r="R33" s="136">
        <f t="shared" si="17"/>
        <v>669</v>
      </c>
      <c r="S33" s="136">
        <f t="shared" si="17"/>
        <v>0</v>
      </c>
      <c r="T33" s="136">
        <f t="shared" si="17"/>
        <v>153300</v>
      </c>
      <c r="U33" s="136">
        <f t="shared" si="17"/>
        <v>16920</v>
      </c>
      <c r="V33" s="136">
        <f t="shared" si="17"/>
        <v>0</v>
      </c>
      <c r="W33" s="136">
        <f t="shared" si="17"/>
        <v>0</v>
      </c>
      <c r="X33" s="56"/>
      <c r="Y33" s="56"/>
      <c r="Z33" s="56"/>
      <c r="AA33" s="56"/>
      <c r="AB33" s="56"/>
      <c r="AC33" s="56"/>
      <c r="AD33" s="114"/>
      <c r="AE33" s="179">
        <f>SUM(AE34:AE48)</f>
        <v>1891183</v>
      </c>
      <c r="AF33" s="179">
        <f>SUM(AF34:AF48)</f>
        <v>1348546</v>
      </c>
      <c r="AG33" s="179">
        <f t="shared" ref="AG33:AR33" si="18">SUM(AG34:AG48)</f>
        <v>110242</v>
      </c>
      <c r="AH33" s="179">
        <f t="shared" si="18"/>
        <v>20980</v>
      </c>
      <c r="AI33" s="179">
        <f t="shared" si="18"/>
        <v>61050</v>
      </c>
      <c r="AJ33" s="179">
        <f t="shared" si="18"/>
        <v>7650</v>
      </c>
      <c r="AK33" s="179">
        <f t="shared" si="18"/>
        <v>0</v>
      </c>
      <c r="AL33" s="179">
        <f t="shared" si="18"/>
        <v>3006</v>
      </c>
      <c r="AM33" s="179">
        <f t="shared" si="18"/>
        <v>0</v>
      </c>
      <c r="AN33" s="179">
        <f t="shared" si="18"/>
        <v>0</v>
      </c>
      <c r="AO33" s="179">
        <f t="shared" si="18"/>
        <v>3156</v>
      </c>
      <c r="AP33" s="179">
        <f t="shared" si="18"/>
        <v>0</v>
      </c>
      <c r="AQ33" s="307">
        <f t="shared" si="18"/>
        <v>14400</v>
      </c>
      <c r="AR33" s="179">
        <f t="shared" si="18"/>
        <v>0</v>
      </c>
    </row>
    <row r="34" spans="1:48" ht="14.25" hidden="1" customHeight="1">
      <c r="A34" s="83">
        <v>1</v>
      </c>
      <c r="B34" s="60" t="s">
        <v>831</v>
      </c>
      <c r="C34" s="108">
        <f>+D34+V34+W34</f>
        <v>481406</v>
      </c>
      <c r="D34" s="108">
        <f>SUM(E34:U34)</f>
        <v>481406</v>
      </c>
      <c r="E34" s="108"/>
      <c r="F34" s="108">
        <v>17000</v>
      </c>
      <c r="G34" s="108"/>
      <c r="H34" s="108">
        <v>171000</v>
      </c>
      <c r="I34" s="108">
        <v>53000</v>
      </c>
      <c r="J34" s="108">
        <v>56</v>
      </c>
      <c r="K34" s="108">
        <v>60000</v>
      </c>
      <c r="L34" s="108">
        <v>39500</v>
      </c>
      <c r="M34" s="108"/>
      <c r="N34" s="108">
        <v>9550</v>
      </c>
      <c r="O34" s="108">
        <v>10000</v>
      </c>
      <c r="P34" s="108">
        <v>85000</v>
      </c>
      <c r="Q34" s="108"/>
      <c r="R34" s="108"/>
      <c r="S34" s="108"/>
      <c r="T34" s="108">
        <v>34500</v>
      </c>
      <c r="U34" s="108">
        <v>1800</v>
      </c>
      <c r="V34" s="108"/>
      <c r="W34" s="108"/>
      <c r="X34" s="60"/>
      <c r="Y34" s="60"/>
      <c r="Z34" s="60"/>
      <c r="AA34" s="60"/>
      <c r="AB34" s="60"/>
      <c r="AC34" s="60"/>
      <c r="AE34" s="105">
        <f>C34-AG34</f>
        <v>461200</v>
      </c>
      <c r="AF34" s="105">
        <f>AE34-P34</f>
        <v>376200</v>
      </c>
      <c r="AG34" s="105">
        <f>+AH34+AI34+AJ34+AK34+AL34+AM34+AO34+AP34+AQ34+AN34</f>
        <v>20206</v>
      </c>
      <c r="AI34" s="105">
        <v>20000</v>
      </c>
      <c r="AM34" s="105">
        <f>AR34*0.3</f>
        <v>0</v>
      </c>
      <c r="AN34" s="105">
        <f>S34</f>
        <v>0</v>
      </c>
      <c r="AO34" s="105">
        <f>J34</f>
        <v>56</v>
      </c>
      <c r="AQ34" s="250">
        <v>150</v>
      </c>
    </row>
    <row r="35" spans="1:48" ht="14.25" hidden="1" customHeight="1">
      <c r="A35" s="83">
        <v>2</v>
      </c>
      <c r="B35" s="60" t="s">
        <v>917</v>
      </c>
      <c r="C35" s="108">
        <f t="shared" ref="C35:C48" si="19">+D35+V35+W35</f>
        <v>102050</v>
      </c>
      <c r="D35" s="108">
        <f t="shared" ref="D35:D48" si="20">SUM(E35:U35)</f>
        <v>102050</v>
      </c>
      <c r="E35" s="108"/>
      <c r="F35" s="108">
        <v>6300</v>
      </c>
      <c r="G35" s="108"/>
      <c r="H35" s="108">
        <v>18000</v>
      </c>
      <c r="I35" s="108">
        <v>6000</v>
      </c>
      <c r="J35" s="108"/>
      <c r="K35" s="108">
        <v>5000</v>
      </c>
      <c r="L35" s="108">
        <v>4500</v>
      </c>
      <c r="M35" s="108">
        <v>0</v>
      </c>
      <c r="N35" s="108">
        <v>300</v>
      </c>
      <c r="O35" s="108">
        <v>2750</v>
      </c>
      <c r="P35" s="108">
        <v>36000</v>
      </c>
      <c r="Q35" s="108"/>
      <c r="R35" s="108">
        <v>100</v>
      </c>
      <c r="S35" s="108"/>
      <c r="T35" s="108">
        <f>23100-U35</f>
        <v>23100</v>
      </c>
      <c r="U35" s="108"/>
      <c r="V35" s="108"/>
      <c r="W35" s="108"/>
      <c r="X35" s="60"/>
      <c r="Y35" s="60"/>
      <c r="Z35" s="60"/>
      <c r="AA35" s="60"/>
      <c r="AB35" s="60"/>
      <c r="AC35" s="60"/>
      <c r="AE35" s="105">
        <f t="shared" ref="AE35:AE48" si="21">C35-AG35</f>
        <v>99850</v>
      </c>
      <c r="AF35" s="105">
        <f t="shared" ref="AF35:AF48" si="22">AE35-P35</f>
        <v>63850</v>
      </c>
      <c r="AG35" s="105">
        <f t="shared" ref="AG35:AG48" si="23">+AH35+AI35+AJ35+AK35+AL35+AM35+AO35+AP35+AQ35+AN35</f>
        <v>2200</v>
      </c>
      <c r="AH35" s="105">
        <v>1700</v>
      </c>
      <c r="AL35" s="105">
        <v>500</v>
      </c>
      <c r="AM35" s="105">
        <f t="shared" ref="AM35:AM48" si="24">AR35*0.3</f>
        <v>0</v>
      </c>
      <c r="AN35" s="105">
        <f t="shared" ref="AN35:AN48" si="25">S35</f>
        <v>0</v>
      </c>
      <c r="AO35" s="105">
        <f t="shared" ref="AO35:AO48" si="26">J35</f>
        <v>0</v>
      </c>
    </row>
    <row r="36" spans="1:48" ht="14.25" hidden="1" customHeight="1">
      <c r="A36" s="230">
        <v>3</v>
      </c>
      <c r="B36" s="231" t="s">
        <v>918</v>
      </c>
      <c r="C36" s="232">
        <f t="shared" si="19"/>
        <v>470000</v>
      </c>
      <c r="D36" s="232">
        <f t="shared" si="20"/>
        <v>470000</v>
      </c>
      <c r="E36" s="232"/>
      <c r="F36" s="232">
        <v>19000</v>
      </c>
      <c r="G36" s="232">
        <v>50</v>
      </c>
      <c r="H36" s="232">
        <v>175000</v>
      </c>
      <c r="I36" s="232">
        <v>60000</v>
      </c>
      <c r="J36" s="232">
        <v>3100</v>
      </c>
      <c r="K36" s="232">
        <v>48000</v>
      </c>
      <c r="L36" s="232">
        <v>9900</v>
      </c>
      <c r="M36" s="232">
        <v>5</v>
      </c>
      <c r="N36" s="232">
        <v>3585</v>
      </c>
      <c r="O36" s="232">
        <v>21300</v>
      </c>
      <c r="P36" s="232">
        <v>100000</v>
      </c>
      <c r="Q36" s="232"/>
      <c r="R36" s="232">
        <v>110</v>
      </c>
      <c r="S36" s="232"/>
      <c r="T36" s="232">
        <v>28700</v>
      </c>
      <c r="U36" s="232">
        <v>1250</v>
      </c>
      <c r="V36" s="232"/>
      <c r="W36" s="232"/>
      <c r="X36" s="231"/>
      <c r="Y36" s="231"/>
      <c r="Z36" s="231"/>
      <c r="AA36" s="231"/>
      <c r="AB36" s="231"/>
      <c r="AC36" s="231"/>
      <c r="AD36" s="233"/>
      <c r="AE36" s="234">
        <f t="shared" si="21"/>
        <v>453950</v>
      </c>
      <c r="AF36" s="234">
        <f t="shared" si="22"/>
        <v>353950</v>
      </c>
      <c r="AG36" s="234">
        <f t="shared" si="23"/>
        <v>16050</v>
      </c>
      <c r="AH36" s="234">
        <v>2600</v>
      </c>
      <c r="AI36" s="234">
        <v>6200</v>
      </c>
      <c r="AJ36" s="234">
        <v>2600</v>
      </c>
      <c r="AK36" s="234"/>
      <c r="AL36" s="234">
        <v>1400</v>
      </c>
      <c r="AM36" s="234">
        <f t="shared" si="24"/>
        <v>0</v>
      </c>
      <c r="AN36" s="234">
        <f t="shared" si="25"/>
        <v>0</v>
      </c>
      <c r="AO36" s="234">
        <f t="shared" si="26"/>
        <v>3100</v>
      </c>
      <c r="AP36" s="234"/>
      <c r="AQ36" s="250">
        <v>150</v>
      </c>
      <c r="AR36" s="234"/>
    </row>
    <row r="37" spans="1:48" ht="14.25" hidden="1" customHeight="1">
      <c r="A37" s="83">
        <v>4</v>
      </c>
      <c r="B37" s="60" t="s">
        <v>919</v>
      </c>
      <c r="C37" s="108">
        <f t="shared" si="19"/>
        <v>81485</v>
      </c>
      <c r="D37" s="108">
        <f t="shared" si="20"/>
        <v>81485</v>
      </c>
      <c r="E37" s="108"/>
      <c r="F37" s="108">
        <v>1450</v>
      </c>
      <c r="G37" s="108"/>
      <c r="H37" s="108">
        <v>25056</v>
      </c>
      <c r="I37" s="108">
        <v>12000</v>
      </c>
      <c r="J37" s="108"/>
      <c r="K37" s="108">
        <v>12000</v>
      </c>
      <c r="L37" s="108">
        <v>4363</v>
      </c>
      <c r="M37" s="108"/>
      <c r="N37" s="108">
        <v>2500</v>
      </c>
      <c r="O37" s="108">
        <v>450</v>
      </c>
      <c r="P37" s="108">
        <v>17707</v>
      </c>
      <c r="Q37" s="108"/>
      <c r="R37" s="108">
        <v>409</v>
      </c>
      <c r="S37" s="108"/>
      <c r="T37" s="108">
        <v>4950</v>
      </c>
      <c r="U37" s="108">
        <v>600</v>
      </c>
      <c r="V37" s="108"/>
      <c r="W37" s="108"/>
      <c r="X37" s="60"/>
      <c r="Y37" s="60"/>
      <c r="Z37" s="60"/>
      <c r="AA37" s="60"/>
      <c r="AB37" s="60"/>
      <c r="AC37" s="60"/>
      <c r="AE37" s="105">
        <f t="shared" si="21"/>
        <v>78085</v>
      </c>
      <c r="AF37" s="105">
        <f t="shared" si="22"/>
        <v>60378</v>
      </c>
      <c r="AG37" s="105">
        <f t="shared" si="23"/>
        <v>3400</v>
      </c>
      <c r="AH37" s="105">
        <v>2400</v>
      </c>
      <c r="AI37" s="105">
        <v>500</v>
      </c>
      <c r="AJ37" s="105">
        <v>300</v>
      </c>
      <c r="AL37" s="105">
        <v>50</v>
      </c>
      <c r="AM37" s="105">
        <f t="shared" si="24"/>
        <v>0</v>
      </c>
      <c r="AN37" s="105">
        <f t="shared" si="25"/>
        <v>0</v>
      </c>
      <c r="AO37" s="105">
        <f t="shared" si="26"/>
        <v>0</v>
      </c>
      <c r="AQ37" s="250">
        <v>150</v>
      </c>
    </row>
    <row r="38" spans="1:48" ht="14.25" customHeight="1">
      <c r="A38" s="83">
        <v>5</v>
      </c>
      <c r="B38" s="60" t="s">
        <v>920</v>
      </c>
      <c r="C38" s="108">
        <f t="shared" si="19"/>
        <v>35870</v>
      </c>
      <c r="D38" s="108">
        <f t="shared" si="20"/>
        <v>35870</v>
      </c>
      <c r="E38" s="108"/>
      <c r="F38" s="108"/>
      <c r="G38" s="108"/>
      <c r="H38" s="108">
        <v>10670</v>
      </c>
      <c r="I38" s="108">
        <v>5400</v>
      </c>
      <c r="J38" s="108"/>
      <c r="K38" s="108">
        <v>6300</v>
      </c>
      <c r="L38" s="108">
        <v>2330</v>
      </c>
      <c r="M38" s="108"/>
      <c r="N38" s="108">
        <v>1550</v>
      </c>
      <c r="O38" s="108">
        <v>200</v>
      </c>
      <c r="P38" s="108">
        <v>6200</v>
      </c>
      <c r="Q38" s="108"/>
      <c r="R38" s="108"/>
      <c r="S38" s="108"/>
      <c r="T38" s="108">
        <v>2600</v>
      </c>
      <c r="U38" s="108">
        <v>620</v>
      </c>
      <c r="V38" s="108"/>
      <c r="W38" s="108"/>
      <c r="X38" s="60"/>
      <c r="Y38" s="60"/>
      <c r="Z38" s="60"/>
      <c r="AA38" s="60"/>
      <c r="AB38" s="60"/>
      <c r="AC38" s="60"/>
      <c r="AE38" s="105">
        <f t="shared" si="21"/>
        <v>32850</v>
      </c>
      <c r="AF38" s="105">
        <f t="shared" si="22"/>
        <v>26650</v>
      </c>
      <c r="AG38" s="105">
        <f t="shared" si="23"/>
        <v>3020</v>
      </c>
      <c r="AH38" s="105">
        <v>700</v>
      </c>
      <c r="AI38" s="105">
        <v>1250</v>
      </c>
      <c r="AJ38" s="105">
        <v>150</v>
      </c>
      <c r="AL38" s="105">
        <v>20</v>
      </c>
      <c r="AM38" s="105">
        <f t="shared" si="24"/>
        <v>0</v>
      </c>
      <c r="AN38" s="105">
        <f t="shared" si="25"/>
        <v>0</v>
      </c>
      <c r="AO38" s="105">
        <f t="shared" si="26"/>
        <v>0</v>
      </c>
      <c r="AQ38" s="250">
        <v>900</v>
      </c>
    </row>
    <row r="39" spans="1:48" ht="14.25" hidden="1" customHeight="1">
      <c r="A39" s="83">
        <v>6</v>
      </c>
      <c r="B39" s="60" t="s">
        <v>921</v>
      </c>
      <c r="C39" s="108">
        <f t="shared" si="19"/>
        <v>72130</v>
      </c>
      <c r="D39" s="108">
        <f t="shared" si="20"/>
        <v>72130</v>
      </c>
      <c r="E39" s="108"/>
      <c r="F39" s="108">
        <v>200</v>
      </c>
      <c r="G39" s="108"/>
      <c r="H39" s="108">
        <v>17730</v>
      </c>
      <c r="I39" s="108">
        <v>12500</v>
      </c>
      <c r="J39" s="108"/>
      <c r="K39" s="108">
        <v>14000</v>
      </c>
      <c r="L39" s="108">
        <v>3000</v>
      </c>
      <c r="M39" s="108"/>
      <c r="N39" s="108">
        <v>3600</v>
      </c>
      <c r="O39" s="108">
        <v>200</v>
      </c>
      <c r="P39" s="108">
        <v>16000</v>
      </c>
      <c r="Q39" s="108"/>
      <c r="R39" s="108"/>
      <c r="S39" s="108"/>
      <c r="T39" s="108">
        <v>4100</v>
      </c>
      <c r="U39" s="108">
        <v>800</v>
      </c>
      <c r="V39" s="108"/>
      <c r="W39" s="108"/>
      <c r="X39" s="60"/>
      <c r="Y39" s="60"/>
      <c r="Z39" s="60"/>
      <c r="AA39" s="60"/>
      <c r="AB39" s="60"/>
      <c r="AC39" s="60"/>
      <c r="AE39" s="105">
        <f t="shared" si="21"/>
        <v>68780</v>
      </c>
      <c r="AF39" s="105">
        <f t="shared" si="22"/>
        <v>52780</v>
      </c>
      <c r="AG39" s="105">
        <f t="shared" si="23"/>
        <v>3350</v>
      </c>
      <c r="AH39" s="105">
        <v>1250</v>
      </c>
      <c r="AI39" s="105">
        <v>1800</v>
      </c>
      <c r="AJ39" s="105">
        <v>250</v>
      </c>
      <c r="AL39" s="105">
        <v>50</v>
      </c>
      <c r="AM39" s="105">
        <f t="shared" si="24"/>
        <v>0</v>
      </c>
      <c r="AN39" s="105">
        <f t="shared" si="25"/>
        <v>0</v>
      </c>
      <c r="AO39" s="105">
        <f t="shared" si="26"/>
        <v>0</v>
      </c>
      <c r="AQ39" s="250">
        <v>0</v>
      </c>
    </row>
    <row r="40" spans="1:48" ht="14.25" hidden="1" customHeight="1">
      <c r="A40" s="83">
        <v>7</v>
      </c>
      <c r="B40" s="60" t="s">
        <v>922</v>
      </c>
      <c r="C40" s="108">
        <f t="shared" si="19"/>
        <v>0</v>
      </c>
      <c r="D40" s="108">
        <f t="shared" si="20"/>
        <v>0</v>
      </c>
      <c r="E40" s="108"/>
      <c r="F40" s="108"/>
      <c r="G40" s="108"/>
      <c r="H40" s="108"/>
      <c r="I40" s="108"/>
      <c r="J40" s="108"/>
      <c r="K40" s="108"/>
      <c r="L40" s="108"/>
      <c r="M40" s="108"/>
      <c r="N40" s="108"/>
      <c r="O40" s="108"/>
      <c r="P40" s="108"/>
      <c r="Q40" s="108"/>
      <c r="R40" s="108"/>
      <c r="S40" s="108"/>
      <c r="T40" s="108"/>
      <c r="U40" s="108"/>
      <c r="V40" s="108"/>
      <c r="W40" s="108"/>
      <c r="X40" s="60"/>
      <c r="Y40" s="60"/>
      <c r="Z40" s="60"/>
      <c r="AA40" s="60"/>
      <c r="AB40" s="60"/>
      <c r="AC40" s="60"/>
      <c r="AE40" s="105">
        <f t="shared" si="21"/>
        <v>-16500</v>
      </c>
      <c r="AF40" s="105">
        <f t="shared" si="22"/>
        <v>-16500</v>
      </c>
      <c r="AG40" s="105">
        <f t="shared" si="23"/>
        <v>16500</v>
      </c>
      <c r="AH40" s="105">
        <v>4600</v>
      </c>
      <c r="AI40" s="105">
        <v>10000</v>
      </c>
      <c r="AJ40" s="105">
        <v>1200</v>
      </c>
      <c r="AL40" s="105">
        <v>400</v>
      </c>
      <c r="AM40" s="105">
        <f t="shared" si="24"/>
        <v>0</v>
      </c>
      <c r="AN40" s="105">
        <f t="shared" si="25"/>
        <v>0</v>
      </c>
      <c r="AO40" s="105">
        <f t="shared" si="26"/>
        <v>0</v>
      </c>
      <c r="AQ40" s="250">
        <v>300</v>
      </c>
    </row>
    <row r="41" spans="1:48" ht="14.25" customHeight="1">
      <c r="A41" s="83">
        <v>8</v>
      </c>
      <c r="B41" s="60" t="s">
        <v>923</v>
      </c>
      <c r="C41" s="108">
        <f t="shared" si="19"/>
        <v>61460</v>
      </c>
      <c r="D41" s="108">
        <f t="shared" si="20"/>
        <v>61460</v>
      </c>
      <c r="E41" s="108"/>
      <c r="F41" s="108">
        <v>450</v>
      </c>
      <c r="G41" s="108"/>
      <c r="H41" s="108">
        <v>12596</v>
      </c>
      <c r="I41" s="108">
        <v>8900</v>
      </c>
      <c r="J41" s="108"/>
      <c r="K41" s="108">
        <v>8200</v>
      </c>
      <c r="L41" s="108">
        <v>3574</v>
      </c>
      <c r="M41" s="108">
        <v>170</v>
      </c>
      <c r="N41" s="108">
        <v>450</v>
      </c>
      <c r="O41" s="108">
        <v>20</v>
      </c>
      <c r="P41" s="108">
        <v>22250</v>
      </c>
      <c r="Q41" s="108"/>
      <c r="R41" s="108">
        <v>50</v>
      </c>
      <c r="S41" s="108"/>
      <c r="T41" s="108">
        <v>3500</v>
      </c>
      <c r="U41" s="108">
        <v>1300</v>
      </c>
      <c r="V41" s="108"/>
      <c r="W41" s="108"/>
      <c r="X41" s="60"/>
      <c r="Y41" s="60"/>
      <c r="Z41" s="60"/>
      <c r="AA41" s="60"/>
      <c r="AB41" s="60"/>
      <c r="AC41" s="60"/>
      <c r="AE41" s="105">
        <f t="shared" si="21"/>
        <v>58906</v>
      </c>
      <c r="AF41" s="105">
        <f t="shared" si="22"/>
        <v>36656</v>
      </c>
      <c r="AG41" s="105">
        <f t="shared" si="23"/>
        <v>2554</v>
      </c>
      <c r="AH41" s="105">
        <v>1000</v>
      </c>
      <c r="AI41" s="105">
        <v>1100</v>
      </c>
      <c r="AJ41" s="105">
        <v>200</v>
      </c>
      <c r="AL41" s="105">
        <v>4</v>
      </c>
      <c r="AM41" s="105">
        <f t="shared" si="24"/>
        <v>0</v>
      </c>
      <c r="AN41" s="105">
        <f t="shared" si="25"/>
        <v>0</v>
      </c>
      <c r="AO41" s="105">
        <f t="shared" si="26"/>
        <v>0</v>
      </c>
      <c r="AQ41" s="250">
        <v>250</v>
      </c>
    </row>
    <row r="42" spans="1:48" ht="14.25" hidden="1" customHeight="1">
      <c r="A42" s="83">
        <v>9</v>
      </c>
      <c r="B42" s="60" t="s">
        <v>924</v>
      </c>
      <c r="C42" s="108">
        <f t="shared" si="19"/>
        <v>237994</v>
      </c>
      <c r="D42" s="108">
        <f t="shared" si="20"/>
        <v>237994</v>
      </c>
      <c r="E42" s="108"/>
      <c r="F42" s="108">
        <v>1180</v>
      </c>
      <c r="G42" s="108">
        <v>300</v>
      </c>
      <c r="H42" s="108">
        <v>70709</v>
      </c>
      <c r="I42" s="108">
        <v>20000</v>
      </c>
      <c r="J42" s="108"/>
      <c r="K42" s="108">
        <v>28500</v>
      </c>
      <c r="L42" s="108">
        <v>5160</v>
      </c>
      <c r="M42" s="108"/>
      <c r="N42" s="108">
        <v>1850</v>
      </c>
      <c r="O42" s="108">
        <v>3205</v>
      </c>
      <c r="P42" s="108">
        <v>90000</v>
      </c>
      <c r="Q42" s="108">
        <v>90</v>
      </c>
      <c r="R42" s="108"/>
      <c r="S42" s="108"/>
      <c r="T42" s="108">
        <v>14000</v>
      </c>
      <c r="U42" s="108">
        <v>3000</v>
      </c>
      <c r="V42" s="108"/>
      <c r="W42" s="108"/>
      <c r="X42" s="60"/>
      <c r="Y42" s="60"/>
      <c r="Z42" s="60"/>
      <c r="AA42" s="60"/>
      <c r="AB42" s="60"/>
      <c r="AC42" s="60"/>
      <c r="AE42" s="105">
        <f t="shared" si="21"/>
        <v>224584</v>
      </c>
      <c r="AF42" s="105">
        <f t="shared" si="22"/>
        <v>134584</v>
      </c>
      <c r="AG42" s="105">
        <f t="shared" si="23"/>
        <v>13410</v>
      </c>
      <c r="AH42" s="105">
        <v>1400</v>
      </c>
      <c r="AI42" s="105">
        <v>3500</v>
      </c>
      <c r="AJ42" s="105">
        <v>1500</v>
      </c>
      <c r="AL42" s="105">
        <v>10</v>
      </c>
      <c r="AM42" s="105">
        <f t="shared" si="24"/>
        <v>0</v>
      </c>
      <c r="AN42" s="105">
        <f t="shared" si="25"/>
        <v>0</v>
      </c>
      <c r="AO42" s="105">
        <f t="shared" si="26"/>
        <v>0</v>
      </c>
      <c r="AQ42" s="250">
        <v>7000</v>
      </c>
    </row>
    <row r="43" spans="1:48" ht="14.25" hidden="1" customHeight="1">
      <c r="A43" s="83">
        <v>10</v>
      </c>
      <c r="B43" s="60" t="s">
        <v>925</v>
      </c>
      <c r="C43" s="108">
        <f t="shared" si="19"/>
        <v>303850</v>
      </c>
      <c r="D43" s="108">
        <f t="shared" si="20"/>
        <v>303850</v>
      </c>
      <c r="E43" s="108"/>
      <c r="F43" s="108">
        <v>150</v>
      </c>
      <c r="G43" s="108"/>
      <c r="H43" s="108">
        <v>87550</v>
      </c>
      <c r="I43" s="108">
        <v>32000</v>
      </c>
      <c r="J43" s="108"/>
      <c r="K43" s="108">
        <v>29400</v>
      </c>
      <c r="L43" s="108">
        <v>6100</v>
      </c>
      <c r="M43" s="108"/>
      <c r="N43" s="108">
        <v>2000</v>
      </c>
      <c r="O43" s="108">
        <v>900</v>
      </c>
      <c r="P43" s="108">
        <v>120000</v>
      </c>
      <c r="Q43" s="108"/>
      <c r="R43" s="108"/>
      <c r="S43" s="108"/>
      <c r="T43" s="108">
        <v>23300</v>
      </c>
      <c r="U43" s="108">
        <v>2450</v>
      </c>
      <c r="V43" s="108"/>
      <c r="W43" s="108"/>
      <c r="X43" s="60"/>
      <c r="Y43" s="60"/>
      <c r="Z43" s="60"/>
      <c r="AA43" s="60"/>
      <c r="AB43" s="60"/>
      <c r="AC43" s="60"/>
      <c r="AE43" s="105">
        <f t="shared" si="21"/>
        <v>296100</v>
      </c>
      <c r="AF43" s="105">
        <f t="shared" si="22"/>
        <v>176100</v>
      </c>
      <c r="AG43" s="105">
        <f t="shared" si="23"/>
        <v>7750</v>
      </c>
      <c r="AH43" s="105">
        <v>2500</v>
      </c>
      <c r="AI43" s="105">
        <v>4500</v>
      </c>
      <c r="AJ43" s="105">
        <v>250</v>
      </c>
      <c r="AL43" s="105">
        <v>500</v>
      </c>
      <c r="AM43" s="105">
        <f t="shared" si="24"/>
        <v>0</v>
      </c>
      <c r="AN43" s="105">
        <f t="shared" si="25"/>
        <v>0</v>
      </c>
      <c r="AO43" s="105">
        <f t="shared" si="26"/>
        <v>0</v>
      </c>
      <c r="AQ43" s="250">
        <v>0</v>
      </c>
    </row>
    <row r="44" spans="1:48" ht="14.25" hidden="1" customHeight="1">
      <c r="A44" s="83">
        <v>11</v>
      </c>
      <c r="B44" s="60" t="s">
        <v>926</v>
      </c>
      <c r="C44" s="108">
        <f t="shared" si="19"/>
        <v>57880</v>
      </c>
      <c r="D44" s="108">
        <f t="shared" si="20"/>
        <v>57880</v>
      </c>
      <c r="E44" s="108"/>
      <c r="F44" s="108">
        <v>1010</v>
      </c>
      <c r="G44" s="108"/>
      <c r="H44" s="108">
        <v>12080</v>
      </c>
      <c r="I44" s="108">
        <v>8000</v>
      </c>
      <c r="J44" s="108"/>
      <c r="K44" s="108">
        <v>8200</v>
      </c>
      <c r="L44" s="108">
        <v>2832</v>
      </c>
      <c r="M44" s="108">
        <v>218</v>
      </c>
      <c r="N44" s="108">
        <v>140</v>
      </c>
      <c r="O44" s="108">
        <v>800</v>
      </c>
      <c r="P44" s="108">
        <v>18800</v>
      </c>
      <c r="Q44" s="108"/>
      <c r="R44" s="108"/>
      <c r="S44" s="108"/>
      <c r="T44" s="108">
        <v>4800</v>
      </c>
      <c r="U44" s="108">
        <v>1000</v>
      </c>
      <c r="V44" s="108"/>
      <c r="W44" s="108"/>
      <c r="X44" s="60"/>
      <c r="Y44" s="60"/>
      <c r="Z44" s="60"/>
      <c r="AA44" s="60"/>
      <c r="AB44" s="60"/>
      <c r="AC44" s="60"/>
      <c r="AE44" s="105">
        <f t="shared" si="21"/>
        <v>54298</v>
      </c>
      <c r="AF44" s="105">
        <f t="shared" si="22"/>
        <v>35498</v>
      </c>
      <c r="AG44" s="105">
        <f t="shared" si="23"/>
        <v>3582</v>
      </c>
      <c r="AH44" s="105">
        <v>450</v>
      </c>
      <c r="AI44" s="105">
        <v>2500</v>
      </c>
      <c r="AL44" s="105">
        <v>32</v>
      </c>
      <c r="AM44" s="105">
        <f t="shared" si="24"/>
        <v>0</v>
      </c>
      <c r="AN44" s="105">
        <f t="shared" si="25"/>
        <v>0</v>
      </c>
      <c r="AO44" s="105">
        <f t="shared" si="26"/>
        <v>0</v>
      </c>
      <c r="AQ44" s="250">
        <v>600</v>
      </c>
      <c r="AS44" s="105">
        <f>+AS19</f>
        <v>46100</v>
      </c>
      <c r="AT44" s="105">
        <f>+AT19</f>
        <v>38100</v>
      </c>
      <c r="AU44" s="105">
        <f t="shared" ref="AU44" si="27">AE44-AS44</f>
        <v>8198</v>
      </c>
      <c r="AV44" s="250">
        <f t="shared" ref="AV44" si="28">AF44-AT44</f>
        <v>-2602</v>
      </c>
    </row>
    <row r="45" spans="1:48" ht="14.25" hidden="1" customHeight="1">
      <c r="A45" s="83">
        <v>12</v>
      </c>
      <c r="B45" s="60" t="s">
        <v>927</v>
      </c>
      <c r="C45" s="108">
        <f t="shared" si="19"/>
        <v>0</v>
      </c>
      <c r="D45" s="108">
        <f t="shared" si="20"/>
        <v>0</v>
      </c>
      <c r="E45" s="108"/>
      <c r="F45" s="108"/>
      <c r="G45" s="108"/>
      <c r="H45" s="108"/>
      <c r="I45" s="108"/>
      <c r="J45" s="108"/>
      <c r="K45" s="108"/>
      <c r="L45" s="108"/>
      <c r="M45" s="108"/>
      <c r="N45" s="108"/>
      <c r="O45" s="108"/>
      <c r="P45" s="108"/>
      <c r="Q45" s="108"/>
      <c r="R45" s="108"/>
      <c r="S45" s="108"/>
      <c r="T45" s="108"/>
      <c r="U45" s="108"/>
      <c r="V45" s="108"/>
      <c r="W45" s="108"/>
      <c r="X45" s="60"/>
      <c r="Y45" s="60"/>
      <c r="Z45" s="60"/>
      <c r="AA45" s="60"/>
      <c r="AB45" s="60"/>
      <c r="AC45" s="60"/>
      <c r="AE45" s="105">
        <f t="shared" si="21"/>
        <v>-7600</v>
      </c>
      <c r="AF45" s="105">
        <f t="shared" si="22"/>
        <v>-7600</v>
      </c>
      <c r="AG45" s="105">
        <f t="shared" si="23"/>
        <v>7600</v>
      </c>
      <c r="AH45" s="105">
        <v>600</v>
      </c>
      <c r="AI45" s="105">
        <v>6500</v>
      </c>
      <c r="AJ45" s="105">
        <v>500</v>
      </c>
      <c r="AL45" s="105">
        <v>0</v>
      </c>
      <c r="AM45" s="105">
        <f t="shared" si="24"/>
        <v>0</v>
      </c>
      <c r="AN45" s="105">
        <f t="shared" si="25"/>
        <v>0</v>
      </c>
      <c r="AO45" s="105">
        <f t="shared" si="26"/>
        <v>0</v>
      </c>
      <c r="AQ45" s="250">
        <v>0</v>
      </c>
    </row>
    <row r="46" spans="1:48" ht="14.25" customHeight="1">
      <c r="A46" s="83">
        <v>13</v>
      </c>
      <c r="B46" s="60" t="s">
        <v>928</v>
      </c>
      <c r="C46" s="108">
        <f t="shared" si="19"/>
        <v>0</v>
      </c>
      <c r="D46" s="108">
        <f t="shared" si="20"/>
        <v>0</v>
      </c>
      <c r="E46" s="108"/>
      <c r="F46" s="108"/>
      <c r="G46" s="108"/>
      <c r="H46" s="108"/>
      <c r="I46" s="108"/>
      <c r="J46" s="108"/>
      <c r="K46" s="108"/>
      <c r="L46" s="108"/>
      <c r="M46" s="108"/>
      <c r="N46" s="108"/>
      <c r="O46" s="108"/>
      <c r="P46" s="108"/>
      <c r="Q46" s="108"/>
      <c r="R46" s="108"/>
      <c r="S46" s="108"/>
      <c r="T46" s="108"/>
      <c r="U46" s="108"/>
      <c r="V46" s="108"/>
      <c r="W46" s="108"/>
      <c r="X46" s="60"/>
      <c r="Y46" s="60"/>
      <c r="Z46" s="60"/>
      <c r="AA46" s="60"/>
      <c r="AB46" s="60"/>
      <c r="AC46" s="60"/>
      <c r="AE46" s="105">
        <f t="shared" si="21"/>
        <v>-900</v>
      </c>
      <c r="AF46" s="105">
        <f t="shared" si="22"/>
        <v>-900</v>
      </c>
      <c r="AG46" s="105">
        <f t="shared" si="23"/>
        <v>900</v>
      </c>
      <c r="AH46" s="105">
        <v>450</v>
      </c>
      <c r="AI46" s="105">
        <v>400</v>
      </c>
      <c r="AJ46" s="105">
        <v>50</v>
      </c>
      <c r="AL46" s="105">
        <v>0</v>
      </c>
      <c r="AM46" s="105">
        <f t="shared" si="24"/>
        <v>0</v>
      </c>
      <c r="AN46" s="105">
        <f t="shared" si="25"/>
        <v>0</v>
      </c>
      <c r="AO46" s="105">
        <f t="shared" si="26"/>
        <v>0</v>
      </c>
      <c r="AQ46" s="250">
        <v>0</v>
      </c>
    </row>
    <row r="47" spans="1:48" ht="14.25" hidden="1" customHeight="1">
      <c r="A47" s="83">
        <v>14</v>
      </c>
      <c r="B47" s="60" t="s">
        <v>929</v>
      </c>
      <c r="C47" s="108">
        <f t="shared" si="19"/>
        <v>44500</v>
      </c>
      <c r="D47" s="108">
        <f t="shared" si="20"/>
        <v>44500</v>
      </c>
      <c r="E47" s="108"/>
      <c r="F47" s="108">
        <v>2000</v>
      </c>
      <c r="G47" s="108"/>
      <c r="H47" s="108">
        <v>10000</v>
      </c>
      <c r="I47" s="108">
        <v>6500</v>
      </c>
      <c r="J47" s="108"/>
      <c r="K47" s="108">
        <v>4600</v>
      </c>
      <c r="L47" s="108">
        <v>2050</v>
      </c>
      <c r="M47" s="108"/>
      <c r="N47" s="108">
        <v>250</v>
      </c>
      <c r="O47" s="108"/>
      <c r="P47" s="108">
        <v>13950</v>
      </c>
      <c r="Q47" s="108"/>
      <c r="R47" s="108"/>
      <c r="S47" s="108"/>
      <c r="T47" s="108">
        <v>2750</v>
      </c>
      <c r="U47" s="108">
        <v>2400</v>
      </c>
      <c r="V47" s="108"/>
      <c r="W47" s="108"/>
      <c r="X47" s="60"/>
      <c r="Y47" s="60"/>
      <c r="Z47" s="60"/>
      <c r="AA47" s="60"/>
      <c r="AB47" s="60"/>
      <c r="AC47" s="60"/>
      <c r="AE47" s="105">
        <f t="shared" si="21"/>
        <v>39830</v>
      </c>
      <c r="AF47" s="105">
        <f t="shared" si="22"/>
        <v>25880</v>
      </c>
      <c r="AG47" s="105">
        <f t="shared" si="23"/>
        <v>4670</v>
      </c>
      <c r="AH47" s="105">
        <v>400</v>
      </c>
      <c r="AI47" s="105">
        <v>1100</v>
      </c>
      <c r="AJ47" s="105">
        <v>550</v>
      </c>
      <c r="AL47" s="105">
        <v>20</v>
      </c>
      <c r="AM47" s="105">
        <f t="shared" si="24"/>
        <v>0</v>
      </c>
      <c r="AN47" s="105">
        <f t="shared" si="25"/>
        <v>0</v>
      </c>
      <c r="AO47" s="105">
        <f t="shared" si="26"/>
        <v>0</v>
      </c>
      <c r="AQ47" s="250">
        <v>2600</v>
      </c>
      <c r="AS47" s="105">
        <f>AS22</f>
        <v>41000</v>
      </c>
      <c r="AT47" s="105">
        <f>AT22</f>
        <v>35500</v>
      </c>
      <c r="AU47" s="105">
        <f t="shared" ref="AU47" si="29">AE47-AS47</f>
        <v>-1170</v>
      </c>
      <c r="AV47" s="250">
        <f t="shared" ref="AV47" si="30">AF47-AT47</f>
        <v>-9620</v>
      </c>
    </row>
    <row r="48" spans="1:48" ht="14.25" hidden="1" customHeight="1">
      <c r="A48" s="83">
        <v>15</v>
      </c>
      <c r="B48" s="60" t="s">
        <v>930</v>
      </c>
      <c r="C48" s="108">
        <f t="shared" si="19"/>
        <v>52800</v>
      </c>
      <c r="D48" s="108">
        <f t="shared" si="20"/>
        <v>52800</v>
      </c>
      <c r="E48" s="108"/>
      <c r="F48" s="108">
        <v>1200</v>
      </c>
      <c r="G48" s="108"/>
      <c r="H48" s="108">
        <v>11070</v>
      </c>
      <c r="I48" s="108">
        <v>7500</v>
      </c>
      <c r="J48" s="108"/>
      <c r="K48" s="108">
        <v>5000</v>
      </c>
      <c r="L48" s="108">
        <v>2500</v>
      </c>
      <c r="M48" s="108"/>
      <c r="N48" s="108">
        <v>50</v>
      </c>
      <c r="O48" s="108">
        <v>50</v>
      </c>
      <c r="P48" s="108">
        <v>16730</v>
      </c>
      <c r="Q48" s="108"/>
      <c r="R48" s="108"/>
      <c r="S48" s="108"/>
      <c r="T48" s="108">
        <v>7000</v>
      </c>
      <c r="U48" s="108">
        <v>1700</v>
      </c>
      <c r="V48" s="108"/>
      <c r="W48" s="108"/>
      <c r="X48" s="60"/>
      <c r="Y48" s="60"/>
      <c r="Z48" s="60"/>
      <c r="AA48" s="60"/>
      <c r="AB48" s="60"/>
      <c r="AC48" s="60"/>
      <c r="AE48" s="105">
        <f t="shared" si="21"/>
        <v>47750</v>
      </c>
      <c r="AF48" s="105">
        <f t="shared" si="22"/>
        <v>31020</v>
      </c>
      <c r="AG48" s="105">
        <f t="shared" si="23"/>
        <v>5050</v>
      </c>
      <c r="AH48" s="105">
        <v>930</v>
      </c>
      <c r="AI48" s="105">
        <v>1700</v>
      </c>
      <c r="AJ48" s="105">
        <v>100</v>
      </c>
      <c r="AL48" s="105">
        <v>20</v>
      </c>
      <c r="AM48" s="105">
        <f t="shared" si="24"/>
        <v>0</v>
      </c>
      <c r="AN48" s="105">
        <f t="shared" si="25"/>
        <v>0</v>
      </c>
      <c r="AO48" s="105">
        <f t="shared" si="26"/>
        <v>0</v>
      </c>
      <c r="AQ48" s="250">
        <v>2300</v>
      </c>
    </row>
    <row r="49" spans="1:44" ht="14.25" customHeight="1">
      <c r="A49" s="65"/>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row>
    <row r="52" spans="1:44" ht="14.25" customHeight="1">
      <c r="C52" s="105">
        <f>102050-C35</f>
        <v>0</v>
      </c>
    </row>
    <row r="53" spans="1:44" ht="14.25" customHeight="1">
      <c r="B53" s="1" t="s">
        <v>1050</v>
      </c>
    </row>
    <row r="54" spans="1:44" ht="14.25" hidden="1" customHeight="1">
      <c r="A54" s="55"/>
      <c r="B54" s="56" t="s">
        <v>473</v>
      </c>
      <c r="C54" s="136" t="e">
        <f>D54+V54+W54</f>
        <v>#REF!</v>
      </c>
      <c r="D54" s="136" t="e">
        <f>SUM(D55:D69)</f>
        <v>#REF!</v>
      </c>
      <c r="E54" s="136" t="e">
        <f t="shared" ref="E54:W54" si="31">SUM(E55:E69)</f>
        <v>#REF!</v>
      </c>
      <c r="F54" s="136" t="e">
        <f t="shared" si="31"/>
        <v>#REF!</v>
      </c>
      <c r="G54" s="136" t="e">
        <f t="shared" si="31"/>
        <v>#REF!</v>
      </c>
      <c r="H54" s="136" t="e">
        <f t="shared" si="31"/>
        <v>#REF!</v>
      </c>
      <c r="I54" s="136" t="e">
        <f t="shared" si="31"/>
        <v>#REF!</v>
      </c>
      <c r="J54" s="136" t="e">
        <f t="shared" si="31"/>
        <v>#REF!</v>
      </c>
      <c r="K54" s="136" t="e">
        <f t="shared" si="31"/>
        <v>#REF!</v>
      </c>
      <c r="L54" s="136" t="e">
        <f t="shared" si="31"/>
        <v>#REF!</v>
      </c>
      <c r="M54" s="136" t="e">
        <f t="shared" si="31"/>
        <v>#REF!</v>
      </c>
      <c r="N54" s="136" t="e">
        <f t="shared" si="31"/>
        <v>#REF!</v>
      </c>
      <c r="O54" s="136" t="e">
        <f t="shared" si="31"/>
        <v>#REF!</v>
      </c>
      <c r="P54" s="136" t="e">
        <f t="shared" si="31"/>
        <v>#REF!</v>
      </c>
      <c r="Q54" s="136" t="e">
        <f t="shared" si="31"/>
        <v>#REF!</v>
      </c>
      <c r="R54" s="136" t="e">
        <f t="shared" si="31"/>
        <v>#REF!</v>
      </c>
      <c r="S54" s="136" t="e">
        <f t="shared" si="31"/>
        <v>#REF!</v>
      </c>
      <c r="T54" s="136" t="e">
        <f t="shared" si="31"/>
        <v>#REF!</v>
      </c>
      <c r="U54" s="136" t="e">
        <f t="shared" si="31"/>
        <v>#REF!</v>
      </c>
      <c r="V54" s="136">
        <f t="shared" si="31"/>
        <v>0</v>
      </c>
      <c r="W54" s="136">
        <f t="shared" si="31"/>
        <v>0</v>
      </c>
      <c r="X54" s="56"/>
      <c r="Y54" s="56"/>
      <c r="Z54" s="56"/>
      <c r="AA54" s="56"/>
      <c r="AB54" s="56"/>
      <c r="AC54" s="56"/>
      <c r="AD54" s="114"/>
      <c r="AE54" s="179" t="e">
        <f>SUM(AE55:AE69)</f>
        <v>#REF!</v>
      </c>
      <c r="AF54" s="179" t="e">
        <f>SUM(AF55:AF69)</f>
        <v>#REF!</v>
      </c>
      <c r="AG54" s="179" t="e">
        <f t="shared" ref="AG54:AR54" si="32">SUM(AG55:AG69)</f>
        <v>#REF!</v>
      </c>
      <c r="AH54" s="179" t="e">
        <f t="shared" si="32"/>
        <v>#REF!</v>
      </c>
      <c r="AI54" s="179" t="e">
        <f t="shared" si="32"/>
        <v>#REF!</v>
      </c>
      <c r="AJ54" s="179" t="e">
        <f t="shared" si="32"/>
        <v>#REF!</v>
      </c>
      <c r="AK54" s="179" t="e">
        <f t="shared" si="32"/>
        <v>#REF!</v>
      </c>
      <c r="AL54" s="179" t="e">
        <f t="shared" si="32"/>
        <v>#REF!</v>
      </c>
      <c r="AM54" s="179" t="e">
        <f t="shared" si="32"/>
        <v>#REF!</v>
      </c>
      <c r="AN54" s="179" t="e">
        <f t="shared" si="32"/>
        <v>#REF!</v>
      </c>
      <c r="AO54" s="179" t="e">
        <f t="shared" si="32"/>
        <v>#REF!</v>
      </c>
      <c r="AP54" s="179">
        <f t="shared" si="32"/>
        <v>0</v>
      </c>
      <c r="AQ54" s="307">
        <f t="shared" si="32"/>
        <v>8000</v>
      </c>
      <c r="AR54" s="179">
        <f t="shared" si="32"/>
        <v>0</v>
      </c>
    </row>
    <row r="55" spans="1:44" ht="14.25" hidden="1" customHeight="1">
      <c r="A55" s="83">
        <v>1</v>
      </c>
      <c r="B55" s="60" t="s">
        <v>831</v>
      </c>
      <c r="C55" s="108" t="e">
        <f>+D55+V55+W55</f>
        <v>#REF!</v>
      </c>
      <c r="D55" s="108" t="e">
        <f>SUM(E55:U55)</f>
        <v>#REF!</v>
      </c>
      <c r="E55" s="108" t="e">
        <f>E9-E34</f>
        <v>#REF!</v>
      </c>
      <c r="F55" s="108" t="e">
        <f t="shared" ref="F55:W55" si="33">F9-F34</f>
        <v>#REF!</v>
      </c>
      <c r="G55" s="108" t="e">
        <f t="shared" si="33"/>
        <v>#REF!</v>
      </c>
      <c r="H55" s="108" t="e">
        <f t="shared" si="33"/>
        <v>#REF!</v>
      </c>
      <c r="I55" s="108" t="e">
        <f t="shared" si="33"/>
        <v>#REF!</v>
      </c>
      <c r="J55" s="108" t="e">
        <f t="shared" si="33"/>
        <v>#REF!</v>
      </c>
      <c r="K55" s="108" t="e">
        <f t="shared" si="33"/>
        <v>#REF!</v>
      </c>
      <c r="L55" s="108" t="e">
        <f t="shared" si="33"/>
        <v>#REF!</v>
      </c>
      <c r="M55" s="108" t="e">
        <f t="shared" si="33"/>
        <v>#REF!</v>
      </c>
      <c r="N55" s="108" t="e">
        <f t="shared" si="33"/>
        <v>#REF!</v>
      </c>
      <c r="O55" s="108" t="e">
        <f t="shared" si="33"/>
        <v>#REF!</v>
      </c>
      <c r="P55" s="108" t="e">
        <f t="shared" si="33"/>
        <v>#REF!</v>
      </c>
      <c r="Q55" s="108" t="e">
        <f t="shared" si="33"/>
        <v>#REF!</v>
      </c>
      <c r="R55" s="108" t="e">
        <f t="shared" si="33"/>
        <v>#REF!</v>
      </c>
      <c r="S55" s="108" t="e">
        <f t="shared" si="33"/>
        <v>#REF!</v>
      </c>
      <c r="T55" s="108" t="e">
        <f t="shared" si="33"/>
        <v>#REF!</v>
      </c>
      <c r="U55" s="108" t="e">
        <f t="shared" si="33"/>
        <v>#REF!</v>
      </c>
      <c r="V55" s="108">
        <f t="shared" si="33"/>
        <v>0</v>
      </c>
      <c r="W55" s="108">
        <f t="shared" si="33"/>
        <v>0</v>
      </c>
      <c r="X55" s="60"/>
      <c r="Y55" s="60"/>
      <c r="Z55" s="60"/>
      <c r="AA55" s="60"/>
      <c r="AB55" s="60"/>
      <c r="AC55" s="60"/>
      <c r="AE55" s="105" t="e">
        <f>C55-AG55</f>
        <v>#REF!</v>
      </c>
      <c r="AF55" s="105" t="e">
        <f>AE55-P55</f>
        <v>#REF!</v>
      </c>
      <c r="AG55" s="105" t="e">
        <f>+AH55+AI55+AJ55+AK55+AL55+AM55+AO55+AP55+AQ55+AN55</f>
        <v>#REF!</v>
      </c>
      <c r="AH55" s="105">
        <v>14900</v>
      </c>
      <c r="AI55" s="105">
        <v>24450</v>
      </c>
      <c r="AJ55" s="105">
        <v>2500</v>
      </c>
      <c r="AL55" s="105">
        <v>17000</v>
      </c>
      <c r="AM55" s="105">
        <f>AR55*0.3</f>
        <v>0</v>
      </c>
      <c r="AN55" s="105" t="e">
        <f>S55</f>
        <v>#REF!</v>
      </c>
      <c r="AO55" s="105" t="e">
        <f>J55</f>
        <v>#REF!</v>
      </c>
      <c r="AQ55" s="250">
        <v>150</v>
      </c>
    </row>
    <row r="56" spans="1:44" ht="14.25" hidden="1" customHeight="1">
      <c r="A56" s="83">
        <v>2</v>
      </c>
      <c r="B56" s="60" t="s">
        <v>917</v>
      </c>
      <c r="C56" s="108" t="e">
        <f t="shared" ref="C56:C69" si="34">+D56+V56+W56</f>
        <v>#REF!</v>
      </c>
      <c r="D56" s="108" t="e">
        <f t="shared" ref="D56:D69" si="35">SUM(E56:U56)</f>
        <v>#REF!</v>
      </c>
      <c r="E56" s="108" t="e">
        <f t="shared" ref="E56:W56" si="36">E10-E35</f>
        <v>#REF!</v>
      </c>
      <c r="F56" s="108" t="e">
        <f t="shared" si="36"/>
        <v>#REF!</v>
      </c>
      <c r="G56" s="108" t="e">
        <f t="shared" si="36"/>
        <v>#REF!</v>
      </c>
      <c r="H56" s="108" t="e">
        <f t="shared" si="36"/>
        <v>#REF!</v>
      </c>
      <c r="I56" s="108" t="e">
        <f t="shared" si="36"/>
        <v>#REF!</v>
      </c>
      <c r="J56" s="108" t="e">
        <f t="shared" si="36"/>
        <v>#REF!</v>
      </c>
      <c r="K56" s="108" t="e">
        <f t="shared" si="36"/>
        <v>#REF!</v>
      </c>
      <c r="L56" s="108" t="e">
        <f t="shared" si="36"/>
        <v>#REF!</v>
      </c>
      <c r="M56" s="108" t="e">
        <f t="shared" si="36"/>
        <v>#REF!</v>
      </c>
      <c r="N56" s="108" t="e">
        <f t="shared" si="36"/>
        <v>#REF!</v>
      </c>
      <c r="O56" s="108" t="e">
        <f t="shared" si="36"/>
        <v>#REF!</v>
      </c>
      <c r="P56" s="108" t="e">
        <f t="shared" si="36"/>
        <v>#REF!</v>
      </c>
      <c r="Q56" s="108" t="e">
        <f t="shared" si="36"/>
        <v>#REF!</v>
      </c>
      <c r="R56" s="108" t="e">
        <f t="shared" si="36"/>
        <v>#REF!</v>
      </c>
      <c r="S56" s="108" t="e">
        <f t="shared" si="36"/>
        <v>#REF!</v>
      </c>
      <c r="T56" s="108" t="e">
        <f t="shared" si="36"/>
        <v>#REF!</v>
      </c>
      <c r="U56" s="108" t="e">
        <f t="shared" si="36"/>
        <v>#REF!</v>
      </c>
      <c r="V56" s="108">
        <f t="shared" si="36"/>
        <v>0</v>
      </c>
      <c r="W56" s="108">
        <f t="shared" si="36"/>
        <v>0</v>
      </c>
      <c r="X56" s="60"/>
      <c r="Y56" s="60"/>
      <c r="Z56" s="60"/>
      <c r="AA56" s="60"/>
      <c r="AB56" s="60"/>
      <c r="AC56" s="60"/>
      <c r="AE56" s="105" t="e">
        <f t="shared" ref="AE56:AE69" si="37">C56-AG56</f>
        <v>#REF!</v>
      </c>
      <c r="AF56" s="105" t="e">
        <f t="shared" ref="AF56" si="38">D56-AH56</f>
        <v>#REF!</v>
      </c>
      <c r="AG56" s="105" t="e">
        <f t="shared" ref="AG56" si="39">E56-AI56</f>
        <v>#REF!</v>
      </c>
      <c r="AH56" s="105" t="e">
        <f t="shared" ref="AH56" si="40">F56-AJ56</f>
        <v>#REF!</v>
      </c>
      <c r="AI56" s="105" t="e">
        <f t="shared" ref="AI56" si="41">G56-AK56</f>
        <v>#REF!</v>
      </c>
      <c r="AJ56" s="105" t="e">
        <f t="shared" ref="AJ56" si="42">H56-AL56</f>
        <v>#REF!</v>
      </c>
      <c r="AK56" s="105" t="e">
        <f t="shared" ref="AK56" si="43">I56-AM56</f>
        <v>#REF!</v>
      </c>
      <c r="AL56" s="105" t="e">
        <f t="shared" ref="AL56" si="44">J56-AN56</f>
        <v>#REF!</v>
      </c>
      <c r="AM56" s="105" t="e">
        <f t="shared" ref="AM56" si="45">K56-AO56</f>
        <v>#REF!</v>
      </c>
      <c r="AN56" s="105" t="e">
        <f t="shared" ref="AN56" si="46">L56-AP56</f>
        <v>#REF!</v>
      </c>
      <c r="AO56" s="105" t="e">
        <f t="shared" ref="AO56" si="47">M56-AQ56</f>
        <v>#REF!</v>
      </c>
    </row>
    <row r="57" spans="1:44" ht="14.25" hidden="1" customHeight="1">
      <c r="A57" s="230">
        <v>3</v>
      </c>
      <c r="B57" s="231" t="s">
        <v>918</v>
      </c>
      <c r="C57" s="232" t="e">
        <f t="shared" si="34"/>
        <v>#REF!</v>
      </c>
      <c r="D57" s="232" t="e">
        <f t="shared" si="35"/>
        <v>#REF!</v>
      </c>
      <c r="E57" s="108" t="e">
        <f t="shared" ref="E57:W57" si="48">E11-E36</f>
        <v>#REF!</v>
      </c>
      <c r="F57" s="108" t="e">
        <f t="shared" si="48"/>
        <v>#REF!</v>
      </c>
      <c r="G57" s="108" t="e">
        <f t="shared" si="48"/>
        <v>#REF!</v>
      </c>
      <c r="H57" s="108" t="e">
        <f t="shared" si="48"/>
        <v>#REF!</v>
      </c>
      <c r="I57" s="108" t="e">
        <f t="shared" si="48"/>
        <v>#REF!</v>
      </c>
      <c r="J57" s="108" t="e">
        <f t="shared" si="48"/>
        <v>#REF!</v>
      </c>
      <c r="K57" s="108" t="e">
        <f t="shared" si="48"/>
        <v>#REF!</v>
      </c>
      <c r="L57" s="108" t="e">
        <f t="shared" si="48"/>
        <v>#REF!</v>
      </c>
      <c r="M57" s="108" t="e">
        <f t="shared" si="48"/>
        <v>#REF!</v>
      </c>
      <c r="N57" s="108" t="e">
        <f t="shared" si="48"/>
        <v>#REF!</v>
      </c>
      <c r="O57" s="108" t="e">
        <f t="shared" si="48"/>
        <v>#REF!</v>
      </c>
      <c r="P57" s="108" t="e">
        <f t="shared" si="48"/>
        <v>#REF!</v>
      </c>
      <c r="Q57" s="108" t="e">
        <f t="shared" si="48"/>
        <v>#REF!</v>
      </c>
      <c r="R57" s="108" t="e">
        <f t="shared" si="48"/>
        <v>#REF!</v>
      </c>
      <c r="S57" s="108" t="e">
        <f t="shared" si="48"/>
        <v>#REF!</v>
      </c>
      <c r="T57" s="108" t="e">
        <f t="shared" si="48"/>
        <v>#REF!</v>
      </c>
      <c r="U57" s="108" t="e">
        <f t="shared" si="48"/>
        <v>#REF!</v>
      </c>
      <c r="V57" s="108">
        <f t="shared" si="48"/>
        <v>0</v>
      </c>
      <c r="W57" s="108">
        <f t="shared" si="48"/>
        <v>0</v>
      </c>
      <c r="X57" s="231"/>
      <c r="Y57" s="231"/>
      <c r="Z57" s="231"/>
      <c r="AA57" s="231"/>
      <c r="AB57" s="231"/>
      <c r="AC57" s="231"/>
      <c r="AD57" s="233"/>
      <c r="AE57" s="234" t="e">
        <f t="shared" si="37"/>
        <v>#REF!</v>
      </c>
      <c r="AF57" s="234" t="e">
        <f t="shared" ref="AF57:AF69" si="49">AE57-P57</f>
        <v>#REF!</v>
      </c>
      <c r="AG57" s="234" t="e">
        <f t="shared" ref="AG57:AG69" si="50">+AH57+AI57+AJ57+AK57+AL57+AM57+AO57+AP57+AQ57+AN57</f>
        <v>#REF!</v>
      </c>
      <c r="AH57" s="234">
        <v>2600</v>
      </c>
      <c r="AI57" s="234">
        <v>6200</v>
      </c>
      <c r="AJ57" s="234">
        <v>2600</v>
      </c>
      <c r="AK57" s="234"/>
      <c r="AL57" s="234">
        <v>1400</v>
      </c>
      <c r="AM57" s="234">
        <f t="shared" ref="AM57:AM69" si="51">AR57*0.3</f>
        <v>0</v>
      </c>
      <c r="AN57" s="234" t="e">
        <f t="shared" ref="AN57:AN69" si="52">S57</f>
        <v>#REF!</v>
      </c>
      <c r="AO57" s="234" t="e">
        <f t="shared" ref="AO57:AO69" si="53">J57</f>
        <v>#REF!</v>
      </c>
      <c r="AP57" s="234"/>
      <c r="AQ57" s="250">
        <v>150</v>
      </c>
      <c r="AR57" s="234"/>
    </row>
    <row r="58" spans="1:44" ht="14.25" hidden="1" customHeight="1">
      <c r="A58" s="83">
        <v>4</v>
      </c>
      <c r="B58" s="60" t="s">
        <v>919</v>
      </c>
      <c r="C58" s="108" t="e">
        <f t="shared" si="34"/>
        <v>#REF!</v>
      </c>
      <c r="D58" s="108" t="e">
        <f t="shared" si="35"/>
        <v>#REF!</v>
      </c>
      <c r="E58" s="108" t="e">
        <f t="shared" ref="E58:W58" si="54">E12-E37</f>
        <v>#REF!</v>
      </c>
      <c r="F58" s="108" t="e">
        <f t="shared" si="54"/>
        <v>#REF!</v>
      </c>
      <c r="G58" s="108" t="e">
        <f t="shared" si="54"/>
        <v>#REF!</v>
      </c>
      <c r="H58" s="108" t="e">
        <f t="shared" si="54"/>
        <v>#REF!</v>
      </c>
      <c r="I58" s="108" t="e">
        <f t="shared" si="54"/>
        <v>#REF!</v>
      </c>
      <c r="J58" s="108" t="e">
        <f t="shared" si="54"/>
        <v>#REF!</v>
      </c>
      <c r="K58" s="108" t="e">
        <f t="shared" si="54"/>
        <v>#REF!</v>
      </c>
      <c r="L58" s="108" t="e">
        <f t="shared" si="54"/>
        <v>#REF!</v>
      </c>
      <c r="M58" s="108" t="e">
        <f t="shared" si="54"/>
        <v>#REF!</v>
      </c>
      <c r="N58" s="108" t="e">
        <f t="shared" si="54"/>
        <v>#REF!</v>
      </c>
      <c r="O58" s="108" t="e">
        <f t="shared" si="54"/>
        <v>#REF!</v>
      </c>
      <c r="P58" s="108" t="e">
        <f t="shared" si="54"/>
        <v>#REF!</v>
      </c>
      <c r="Q58" s="108" t="e">
        <f t="shared" si="54"/>
        <v>#REF!</v>
      </c>
      <c r="R58" s="108" t="e">
        <f t="shared" si="54"/>
        <v>#REF!</v>
      </c>
      <c r="S58" s="108" t="e">
        <f t="shared" si="54"/>
        <v>#REF!</v>
      </c>
      <c r="T58" s="108" t="e">
        <f t="shared" si="54"/>
        <v>#REF!</v>
      </c>
      <c r="U58" s="108" t="e">
        <f t="shared" si="54"/>
        <v>#REF!</v>
      </c>
      <c r="V58" s="108">
        <f t="shared" si="54"/>
        <v>0</v>
      </c>
      <c r="W58" s="108">
        <f t="shared" si="54"/>
        <v>0</v>
      </c>
      <c r="X58" s="60"/>
      <c r="Y58" s="60"/>
      <c r="Z58" s="60"/>
      <c r="AA58" s="60"/>
      <c r="AB58" s="60"/>
      <c r="AC58" s="60"/>
      <c r="AE58" s="105" t="e">
        <f t="shared" si="37"/>
        <v>#REF!</v>
      </c>
      <c r="AF58" s="105" t="e">
        <f t="shared" si="49"/>
        <v>#REF!</v>
      </c>
      <c r="AG58" s="105" t="e">
        <f t="shared" si="50"/>
        <v>#REF!</v>
      </c>
      <c r="AH58" s="105">
        <v>2400</v>
      </c>
      <c r="AI58" s="105">
        <v>500</v>
      </c>
      <c r="AJ58" s="105">
        <v>300</v>
      </c>
      <c r="AL58" s="105">
        <v>50</v>
      </c>
      <c r="AM58" s="105">
        <f t="shared" si="51"/>
        <v>0</v>
      </c>
      <c r="AN58" s="105" t="e">
        <f t="shared" si="52"/>
        <v>#REF!</v>
      </c>
      <c r="AO58" s="105" t="e">
        <f t="shared" si="53"/>
        <v>#REF!</v>
      </c>
      <c r="AQ58" s="250">
        <v>150</v>
      </c>
    </row>
    <row r="59" spans="1:44" ht="14.25" customHeight="1">
      <c r="A59" s="83">
        <v>5</v>
      </c>
      <c r="B59" s="60" t="s">
        <v>920</v>
      </c>
      <c r="C59" s="108" t="e">
        <f t="shared" si="34"/>
        <v>#REF!</v>
      </c>
      <c r="D59" s="108" t="e">
        <f t="shared" si="35"/>
        <v>#REF!</v>
      </c>
      <c r="E59" s="108" t="e">
        <f t="shared" ref="E59:W59" si="55">E13-E38</f>
        <v>#REF!</v>
      </c>
      <c r="F59" s="108" t="e">
        <f t="shared" si="55"/>
        <v>#REF!</v>
      </c>
      <c r="G59" s="108" t="e">
        <f t="shared" si="55"/>
        <v>#REF!</v>
      </c>
      <c r="H59" s="108" t="e">
        <f t="shared" si="55"/>
        <v>#REF!</v>
      </c>
      <c r="I59" s="108" t="e">
        <f t="shared" si="55"/>
        <v>#REF!</v>
      </c>
      <c r="J59" s="108" t="e">
        <f t="shared" si="55"/>
        <v>#REF!</v>
      </c>
      <c r="K59" s="108" t="e">
        <f t="shared" si="55"/>
        <v>#REF!</v>
      </c>
      <c r="L59" s="108" t="e">
        <f t="shared" si="55"/>
        <v>#REF!</v>
      </c>
      <c r="M59" s="108" t="e">
        <f t="shared" si="55"/>
        <v>#REF!</v>
      </c>
      <c r="N59" s="108" t="e">
        <f t="shared" si="55"/>
        <v>#REF!</v>
      </c>
      <c r="O59" s="108" t="e">
        <f t="shared" si="55"/>
        <v>#REF!</v>
      </c>
      <c r="P59" s="108" t="e">
        <f t="shared" si="55"/>
        <v>#REF!</v>
      </c>
      <c r="Q59" s="108" t="e">
        <f t="shared" si="55"/>
        <v>#REF!</v>
      </c>
      <c r="R59" s="108" t="e">
        <f t="shared" si="55"/>
        <v>#REF!</v>
      </c>
      <c r="S59" s="108" t="e">
        <f t="shared" si="55"/>
        <v>#REF!</v>
      </c>
      <c r="T59" s="108" t="e">
        <f t="shared" si="55"/>
        <v>#REF!</v>
      </c>
      <c r="U59" s="108" t="e">
        <f t="shared" si="55"/>
        <v>#REF!</v>
      </c>
      <c r="V59" s="108">
        <f t="shared" si="55"/>
        <v>0</v>
      </c>
      <c r="W59" s="108">
        <f t="shared" si="55"/>
        <v>0</v>
      </c>
      <c r="X59" s="60"/>
      <c r="Y59" s="60"/>
      <c r="Z59" s="60"/>
      <c r="AA59" s="60"/>
      <c r="AB59" s="60"/>
      <c r="AC59" s="60"/>
      <c r="AE59" s="105" t="e">
        <f t="shared" si="37"/>
        <v>#REF!</v>
      </c>
      <c r="AF59" s="105" t="e">
        <f t="shared" si="49"/>
        <v>#REF!</v>
      </c>
      <c r="AG59" s="105" t="e">
        <f t="shared" si="50"/>
        <v>#REF!</v>
      </c>
      <c r="AH59" s="105">
        <v>700</v>
      </c>
      <c r="AI59" s="105">
        <v>1250</v>
      </c>
      <c r="AJ59" s="105">
        <v>150</v>
      </c>
      <c r="AL59" s="105">
        <v>20</v>
      </c>
      <c r="AM59" s="105">
        <f t="shared" si="51"/>
        <v>0</v>
      </c>
      <c r="AN59" s="105" t="e">
        <f t="shared" si="52"/>
        <v>#REF!</v>
      </c>
      <c r="AO59" s="105" t="e">
        <f t="shared" si="53"/>
        <v>#REF!</v>
      </c>
      <c r="AQ59" s="250">
        <v>900</v>
      </c>
    </row>
    <row r="60" spans="1:44" ht="14.25" hidden="1" customHeight="1">
      <c r="A60" s="83">
        <v>6</v>
      </c>
      <c r="B60" s="60" t="s">
        <v>921</v>
      </c>
      <c r="C60" s="108" t="e">
        <f t="shared" si="34"/>
        <v>#REF!</v>
      </c>
      <c r="D60" s="108" t="e">
        <f t="shared" si="35"/>
        <v>#REF!</v>
      </c>
      <c r="E60" s="108" t="e">
        <f t="shared" ref="E60:W60" si="56">E14-E39</f>
        <v>#REF!</v>
      </c>
      <c r="F60" s="108" t="e">
        <f t="shared" si="56"/>
        <v>#REF!</v>
      </c>
      <c r="G60" s="108" t="e">
        <f t="shared" si="56"/>
        <v>#REF!</v>
      </c>
      <c r="H60" s="108" t="e">
        <f t="shared" si="56"/>
        <v>#REF!</v>
      </c>
      <c r="I60" s="108" t="e">
        <f t="shared" si="56"/>
        <v>#REF!</v>
      </c>
      <c r="J60" s="108" t="e">
        <f t="shared" si="56"/>
        <v>#REF!</v>
      </c>
      <c r="K60" s="108" t="e">
        <f t="shared" si="56"/>
        <v>#REF!</v>
      </c>
      <c r="L60" s="108" t="e">
        <f t="shared" si="56"/>
        <v>#REF!</v>
      </c>
      <c r="M60" s="108" t="e">
        <f t="shared" si="56"/>
        <v>#REF!</v>
      </c>
      <c r="N60" s="108" t="e">
        <f t="shared" si="56"/>
        <v>#REF!</v>
      </c>
      <c r="O60" s="108" t="e">
        <f t="shared" si="56"/>
        <v>#REF!</v>
      </c>
      <c r="P60" s="108" t="e">
        <f t="shared" si="56"/>
        <v>#REF!</v>
      </c>
      <c r="Q60" s="108" t="e">
        <f t="shared" si="56"/>
        <v>#REF!</v>
      </c>
      <c r="R60" s="108" t="e">
        <f t="shared" si="56"/>
        <v>#REF!</v>
      </c>
      <c r="S60" s="108" t="e">
        <f t="shared" si="56"/>
        <v>#REF!</v>
      </c>
      <c r="T60" s="108" t="e">
        <f t="shared" si="56"/>
        <v>#REF!</v>
      </c>
      <c r="U60" s="108" t="e">
        <f t="shared" si="56"/>
        <v>#REF!</v>
      </c>
      <c r="V60" s="108">
        <f t="shared" si="56"/>
        <v>0</v>
      </c>
      <c r="W60" s="108">
        <f t="shared" si="56"/>
        <v>0</v>
      </c>
      <c r="X60" s="60"/>
      <c r="Y60" s="60"/>
      <c r="Z60" s="60"/>
      <c r="AA60" s="60"/>
      <c r="AB60" s="60"/>
      <c r="AC60" s="60"/>
      <c r="AE60" s="105" t="e">
        <f t="shared" si="37"/>
        <v>#REF!</v>
      </c>
      <c r="AF60" s="105" t="e">
        <f t="shared" si="49"/>
        <v>#REF!</v>
      </c>
      <c r="AG60" s="105" t="e">
        <f t="shared" si="50"/>
        <v>#REF!</v>
      </c>
      <c r="AH60" s="105">
        <v>1250</v>
      </c>
      <c r="AI60" s="105">
        <v>1800</v>
      </c>
      <c r="AJ60" s="105">
        <v>250</v>
      </c>
      <c r="AL60" s="105">
        <v>50</v>
      </c>
      <c r="AM60" s="105">
        <f t="shared" si="51"/>
        <v>0</v>
      </c>
      <c r="AN60" s="105" t="e">
        <f t="shared" si="52"/>
        <v>#REF!</v>
      </c>
      <c r="AO60" s="105" t="e">
        <f t="shared" si="53"/>
        <v>#REF!</v>
      </c>
      <c r="AQ60" s="250">
        <v>0</v>
      </c>
    </row>
    <row r="61" spans="1:44" ht="14.25" hidden="1" customHeight="1">
      <c r="A61" s="83">
        <v>7</v>
      </c>
      <c r="B61" s="60" t="s">
        <v>922</v>
      </c>
      <c r="C61" s="108" t="e">
        <f t="shared" si="34"/>
        <v>#REF!</v>
      </c>
      <c r="D61" s="108" t="e">
        <f t="shared" si="35"/>
        <v>#REF!</v>
      </c>
      <c r="E61" s="108" t="e">
        <f t="shared" ref="E61:W61" si="57">E15-E40</f>
        <v>#REF!</v>
      </c>
      <c r="F61" s="108" t="e">
        <f t="shared" si="57"/>
        <v>#REF!</v>
      </c>
      <c r="G61" s="108" t="e">
        <f t="shared" si="57"/>
        <v>#REF!</v>
      </c>
      <c r="H61" s="108" t="e">
        <f t="shared" si="57"/>
        <v>#REF!</v>
      </c>
      <c r="I61" s="108" t="e">
        <f t="shared" si="57"/>
        <v>#REF!</v>
      </c>
      <c r="J61" s="108" t="e">
        <f t="shared" si="57"/>
        <v>#REF!</v>
      </c>
      <c r="K61" s="108" t="e">
        <f t="shared" si="57"/>
        <v>#REF!</v>
      </c>
      <c r="L61" s="108" t="e">
        <f t="shared" si="57"/>
        <v>#REF!</v>
      </c>
      <c r="M61" s="108" t="e">
        <f t="shared" si="57"/>
        <v>#REF!</v>
      </c>
      <c r="N61" s="108" t="e">
        <f t="shared" si="57"/>
        <v>#REF!</v>
      </c>
      <c r="O61" s="108" t="e">
        <f t="shared" si="57"/>
        <v>#REF!</v>
      </c>
      <c r="P61" s="108" t="e">
        <f t="shared" si="57"/>
        <v>#REF!</v>
      </c>
      <c r="Q61" s="108" t="e">
        <f t="shared" si="57"/>
        <v>#REF!</v>
      </c>
      <c r="R61" s="108" t="e">
        <f t="shared" si="57"/>
        <v>#REF!</v>
      </c>
      <c r="S61" s="108" t="e">
        <f t="shared" si="57"/>
        <v>#REF!</v>
      </c>
      <c r="T61" s="108" t="e">
        <f t="shared" si="57"/>
        <v>#REF!</v>
      </c>
      <c r="U61" s="108" t="e">
        <f t="shared" si="57"/>
        <v>#REF!</v>
      </c>
      <c r="V61" s="108">
        <f t="shared" si="57"/>
        <v>0</v>
      </c>
      <c r="W61" s="108">
        <f t="shared" si="57"/>
        <v>0</v>
      </c>
      <c r="X61" s="60"/>
      <c r="Y61" s="60"/>
      <c r="Z61" s="60"/>
      <c r="AA61" s="60"/>
      <c r="AB61" s="60"/>
      <c r="AC61" s="60"/>
      <c r="AE61" s="105" t="e">
        <f t="shared" si="37"/>
        <v>#REF!</v>
      </c>
      <c r="AF61" s="105" t="e">
        <f t="shared" si="49"/>
        <v>#REF!</v>
      </c>
      <c r="AG61" s="105" t="e">
        <f t="shared" si="50"/>
        <v>#REF!</v>
      </c>
      <c r="AH61" s="105">
        <v>4600</v>
      </c>
      <c r="AI61" s="105">
        <v>10000</v>
      </c>
      <c r="AJ61" s="105">
        <v>1200</v>
      </c>
      <c r="AL61" s="105">
        <v>400</v>
      </c>
      <c r="AM61" s="105">
        <f t="shared" si="51"/>
        <v>0</v>
      </c>
      <c r="AN61" s="105" t="e">
        <f t="shared" si="52"/>
        <v>#REF!</v>
      </c>
      <c r="AO61" s="105" t="e">
        <f t="shared" si="53"/>
        <v>#REF!</v>
      </c>
      <c r="AQ61" s="250">
        <v>300</v>
      </c>
    </row>
    <row r="62" spans="1:44" ht="14.25" customHeight="1">
      <c r="A62" s="83">
        <v>8</v>
      </c>
      <c r="B62" s="60" t="s">
        <v>923</v>
      </c>
      <c r="C62" s="108" t="e">
        <f t="shared" si="34"/>
        <v>#REF!</v>
      </c>
      <c r="D62" s="108" t="e">
        <f t="shared" si="35"/>
        <v>#REF!</v>
      </c>
      <c r="E62" s="108" t="e">
        <f t="shared" ref="E62:W62" si="58">E16-E41</f>
        <v>#REF!</v>
      </c>
      <c r="F62" s="108" t="e">
        <f t="shared" si="58"/>
        <v>#REF!</v>
      </c>
      <c r="G62" s="108" t="e">
        <f t="shared" si="58"/>
        <v>#REF!</v>
      </c>
      <c r="H62" s="108" t="e">
        <f t="shared" si="58"/>
        <v>#REF!</v>
      </c>
      <c r="I62" s="108" t="e">
        <f t="shared" si="58"/>
        <v>#REF!</v>
      </c>
      <c r="J62" s="108" t="e">
        <f t="shared" si="58"/>
        <v>#REF!</v>
      </c>
      <c r="K62" s="108" t="e">
        <f t="shared" si="58"/>
        <v>#REF!</v>
      </c>
      <c r="L62" s="108" t="e">
        <f t="shared" si="58"/>
        <v>#REF!</v>
      </c>
      <c r="M62" s="108" t="e">
        <f t="shared" si="58"/>
        <v>#REF!</v>
      </c>
      <c r="N62" s="108" t="e">
        <f t="shared" si="58"/>
        <v>#REF!</v>
      </c>
      <c r="O62" s="108" t="e">
        <f t="shared" si="58"/>
        <v>#REF!</v>
      </c>
      <c r="P62" s="108" t="e">
        <f t="shared" si="58"/>
        <v>#REF!</v>
      </c>
      <c r="Q62" s="108" t="e">
        <f t="shared" si="58"/>
        <v>#REF!</v>
      </c>
      <c r="R62" s="108" t="e">
        <f t="shared" si="58"/>
        <v>#REF!</v>
      </c>
      <c r="S62" s="108" t="e">
        <f t="shared" si="58"/>
        <v>#REF!</v>
      </c>
      <c r="T62" s="108" t="e">
        <f t="shared" si="58"/>
        <v>#REF!</v>
      </c>
      <c r="U62" s="108" t="e">
        <f t="shared" si="58"/>
        <v>#REF!</v>
      </c>
      <c r="V62" s="108">
        <f t="shared" si="58"/>
        <v>0</v>
      </c>
      <c r="W62" s="108">
        <f t="shared" si="58"/>
        <v>0</v>
      </c>
      <c r="X62" s="60"/>
      <c r="Y62" s="60"/>
      <c r="Z62" s="60"/>
      <c r="AA62" s="60"/>
      <c r="AB62" s="60"/>
      <c r="AC62" s="60"/>
      <c r="AE62" s="105" t="e">
        <f t="shared" si="37"/>
        <v>#REF!</v>
      </c>
      <c r="AF62" s="105" t="e">
        <f t="shared" si="49"/>
        <v>#REF!</v>
      </c>
      <c r="AG62" s="105" t="e">
        <f t="shared" si="50"/>
        <v>#REF!</v>
      </c>
      <c r="AH62" s="105">
        <v>1180</v>
      </c>
      <c r="AI62" s="105">
        <v>1100</v>
      </c>
      <c r="AJ62" s="105">
        <v>200</v>
      </c>
      <c r="AL62" s="105">
        <v>20</v>
      </c>
      <c r="AM62" s="105">
        <f t="shared" si="51"/>
        <v>0</v>
      </c>
      <c r="AN62" s="105" t="e">
        <f t="shared" si="52"/>
        <v>#REF!</v>
      </c>
      <c r="AO62" s="105" t="e">
        <f t="shared" si="53"/>
        <v>#REF!</v>
      </c>
      <c r="AQ62" s="250">
        <v>250</v>
      </c>
    </row>
    <row r="63" spans="1:44" ht="14.25" hidden="1" customHeight="1">
      <c r="A63" s="83">
        <v>9</v>
      </c>
      <c r="B63" s="60" t="s">
        <v>924</v>
      </c>
      <c r="C63" s="108" t="e">
        <f t="shared" si="34"/>
        <v>#REF!</v>
      </c>
      <c r="D63" s="108" t="e">
        <f t="shared" si="35"/>
        <v>#REF!</v>
      </c>
      <c r="E63" s="108" t="e">
        <f t="shared" ref="E63:W63" si="59">E17-E42</f>
        <v>#REF!</v>
      </c>
      <c r="F63" s="108" t="e">
        <f t="shared" si="59"/>
        <v>#REF!</v>
      </c>
      <c r="G63" s="108" t="e">
        <f t="shared" si="59"/>
        <v>#REF!</v>
      </c>
      <c r="H63" s="108" t="e">
        <f t="shared" si="59"/>
        <v>#REF!</v>
      </c>
      <c r="I63" s="108" t="e">
        <f t="shared" si="59"/>
        <v>#REF!</v>
      </c>
      <c r="J63" s="108" t="e">
        <f t="shared" si="59"/>
        <v>#REF!</v>
      </c>
      <c r="K63" s="108" t="e">
        <f t="shared" si="59"/>
        <v>#REF!</v>
      </c>
      <c r="L63" s="108" t="e">
        <f t="shared" si="59"/>
        <v>#REF!</v>
      </c>
      <c r="M63" s="108" t="e">
        <f t="shared" si="59"/>
        <v>#REF!</v>
      </c>
      <c r="N63" s="108" t="e">
        <f t="shared" si="59"/>
        <v>#REF!</v>
      </c>
      <c r="O63" s="108" t="e">
        <f t="shared" si="59"/>
        <v>#REF!</v>
      </c>
      <c r="P63" s="108" t="e">
        <f t="shared" si="59"/>
        <v>#REF!</v>
      </c>
      <c r="Q63" s="108" t="e">
        <f t="shared" si="59"/>
        <v>#REF!</v>
      </c>
      <c r="R63" s="108" t="e">
        <f t="shared" si="59"/>
        <v>#REF!</v>
      </c>
      <c r="S63" s="108" t="e">
        <f t="shared" si="59"/>
        <v>#REF!</v>
      </c>
      <c r="T63" s="108" t="e">
        <f t="shared" si="59"/>
        <v>#REF!</v>
      </c>
      <c r="U63" s="108" t="e">
        <f t="shared" si="59"/>
        <v>#REF!</v>
      </c>
      <c r="V63" s="108">
        <f t="shared" si="59"/>
        <v>0</v>
      </c>
      <c r="W63" s="108">
        <f t="shared" si="59"/>
        <v>0</v>
      </c>
      <c r="X63" s="60"/>
      <c r="Y63" s="60"/>
      <c r="Z63" s="60"/>
      <c r="AA63" s="60"/>
      <c r="AB63" s="60"/>
      <c r="AC63" s="60"/>
      <c r="AE63" s="105" t="e">
        <f t="shared" si="37"/>
        <v>#REF!</v>
      </c>
      <c r="AF63" s="105" t="e">
        <f t="shared" si="49"/>
        <v>#REF!</v>
      </c>
      <c r="AG63" s="105" t="e">
        <f t="shared" si="50"/>
        <v>#REF!</v>
      </c>
      <c r="AH63" s="105">
        <v>1700</v>
      </c>
      <c r="AI63" s="105">
        <v>3500</v>
      </c>
      <c r="AJ63" s="105">
        <v>800</v>
      </c>
      <c r="AL63" s="105">
        <v>0</v>
      </c>
      <c r="AM63" s="105">
        <f t="shared" si="51"/>
        <v>0</v>
      </c>
      <c r="AN63" s="105" t="e">
        <f t="shared" si="52"/>
        <v>#REF!</v>
      </c>
      <c r="AO63" s="105" t="e">
        <f t="shared" si="53"/>
        <v>#REF!</v>
      </c>
      <c r="AQ63" s="250">
        <v>600</v>
      </c>
    </row>
    <row r="64" spans="1:44" ht="14.25" hidden="1" customHeight="1">
      <c r="A64" s="83">
        <v>10</v>
      </c>
      <c r="B64" s="60" t="s">
        <v>925</v>
      </c>
      <c r="C64" s="108" t="e">
        <f t="shared" si="34"/>
        <v>#REF!</v>
      </c>
      <c r="D64" s="108" t="e">
        <f t="shared" si="35"/>
        <v>#REF!</v>
      </c>
      <c r="E64" s="108" t="e">
        <f t="shared" ref="E64:W64" si="60">E18-E43</f>
        <v>#REF!</v>
      </c>
      <c r="F64" s="108" t="e">
        <f t="shared" si="60"/>
        <v>#REF!</v>
      </c>
      <c r="G64" s="108" t="e">
        <f t="shared" si="60"/>
        <v>#REF!</v>
      </c>
      <c r="H64" s="108" t="e">
        <f t="shared" si="60"/>
        <v>#REF!</v>
      </c>
      <c r="I64" s="108" t="e">
        <f t="shared" si="60"/>
        <v>#REF!</v>
      </c>
      <c r="J64" s="108" t="e">
        <f t="shared" si="60"/>
        <v>#REF!</v>
      </c>
      <c r="K64" s="108" t="e">
        <f t="shared" si="60"/>
        <v>#REF!</v>
      </c>
      <c r="L64" s="108" t="e">
        <f t="shared" si="60"/>
        <v>#REF!</v>
      </c>
      <c r="M64" s="108" t="e">
        <f t="shared" si="60"/>
        <v>#REF!</v>
      </c>
      <c r="N64" s="108" t="e">
        <f t="shared" si="60"/>
        <v>#REF!</v>
      </c>
      <c r="O64" s="108" t="e">
        <f t="shared" si="60"/>
        <v>#REF!</v>
      </c>
      <c r="P64" s="108" t="e">
        <f t="shared" si="60"/>
        <v>#REF!</v>
      </c>
      <c r="Q64" s="108" t="e">
        <f t="shared" si="60"/>
        <v>#REF!</v>
      </c>
      <c r="R64" s="108" t="e">
        <f t="shared" si="60"/>
        <v>#REF!</v>
      </c>
      <c r="S64" s="108" t="e">
        <f t="shared" si="60"/>
        <v>#REF!</v>
      </c>
      <c r="T64" s="108" t="e">
        <f t="shared" si="60"/>
        <v>#REF!</v>
      </c>
      <c r="U64" s="108" t="e">
        <f t="shared" si="60"/>
        <v>#REF!</v>
      </c>
      <c r="V64" s="108">
        <f t="shared" si="60"/>
        <v>0</v>
      </c>
      <c r="W64" s="108">
        <f t="shared" si="60"/>
        <v>0</v>
      </c>
      <c r="X64" s="60"/>
      <c r="Y64" s="60"/>
      <c r="Z64" s="60"/>
      <c r="AA64" s="60"/>
      <c r="AB64" s="60"/>
      <c r="AC64" s="60"/>
      <c r="AE64" s="105" t="e">
        <f t="shared" si="37"/>
        <v>#REF!</v>
      </c>
      <c r="AF64" s="105" t="e">
        <f t="shared" si="49"/>
        <v>#REF!</v>
      </c>
      <c r="AG64" s="105" t="e">
        <f t="shared" si="50"/>
        <v>#REF!</v>
      </c>
      <c r="AH64" s="105">
        <v>2700</v>
      </c>
      <c r="AI64" s="105">
        <v>4000</v>
      </c>
      <c r="AJ64" s="105">
        <v>600</v>
      </c>
      <c r="AL64" s="105">
        <v>950</v>
      </c>
      <c r="AM64" s="105">
        <f t="shared" si="51"/>
        <v>0</v>
      </c>
      <c r="AN64" s="105" t="e">
        <f t="shared" si="52"/>
        <v>#REF!</v>
      </c>
      <c r="AO64" s="105" t="e">
        <f t="shared" si="53"/>
        <v>#REF!</v>
      </c>
      <c r="AQ64" s="250">
        <v>0</v>
      </c>
    </row>
    <row r="65" spans="1:43" ht="14.25" hidden="1" customHeight="1">
      <c r="A65" s="83">
        <v>11</v>
      </c>
      <c r="B65" s="60" t="s">
        <v>926</v>
      </c>
      <c r="C65" s="108" t="e">
        <f t="shared" si="34"/>
        <v>#REF!</v>
      </c>
      <c r="D65" s="108" t="e">
        <f t="shared" si="35"/>
        <v>#REF!</v>
      </c>
      <c r="E65" s="108" t="e">
        <f t="shared" ref="E65:W65" si="61">E19-E44</f>
        <v>#REF!</v>
      </c>
      <c r="F65" s="108" t="e">
        <f t="shared" si="61"/>
        <v>#REF!</v>
      </c>
      <c r="G65" s="108" t="e">
        <f t="shared" si="61"/>
        <v>#REF!</v>
      </c>
      <c r="H65" s="108" t="e">
        <f t="shared" si="61"/>
        <v>#REF!</v>
      </c>
      <c r="I65" s="108" t="e">
        <f t="shared" si="61"/>
        <v>#REF!</v>
      </c>
      <c r="J65" s="108" t="e">
        <f t="shared" si="61"/>
        <v>#REF!</v>
      </c>
      <c r="K65" s="108" t="e">
        <f t="shared" si="61"/>
        <v>#REF!</v>
      </c>
      <c r="L65" s="108" t="e">
        <f t="shared" si="61"/>
        <v>#REF!</v>
      </c>
      <c r="M65" s="108" t="e">
        <f t="shared" si="61"/>
        <v>#REF!</v>
      </c>
      <c r="N65" s="108" t="e">
        <f t="shared" si="61"/>
        <v>#REF!</v>
      </c>
      <c r="O65" s="108" t="e">
        <f t="shared" si="61"/>
        <v>#REF!</v>
      </c>
      <c r="P65" s="108" t="e">
        <f t="shared" si="61"/>
        <v>#REF!</v>
      </c>
      <c r="Q65" s="108" t="e">
        <f t="shared" si="61"/>
        <v>#REF!</v>
      </c>
      <c r="R65" s="108" t="e">
        <f t="shared" si="61"/>
        <v>#REF!</v>
      </c>
      <c r="S65" s="108" t="e">
        <f t="shared" si="61"/>
        <v>#REF!</v>
      </c>
      <c r="T65" s="108" t="e">
        <f t="shared" si="61"/>
        <v>#REF!</v>
      </c>
      <c r="U65" s="108" t="e">
        <f t="shared" si="61"/>
        <v>#REF!</v>
      </c>
      <c r="V65" s="108">
        <f t="shared" si="61"/>
        <v>0</v>
      </c>
      <c r="W65" s="108">
        <f t="shared" si="61"/>
        <v>0</v>
      </c>
      <c r="X65" s="60"/>
      <c r="Y65" s="60"/>
      <c r="Z65" s="60"/>
      <c r="AA65" s="60"/>
      <c r="AB65" s="60"/>
      <c r="AC65" s="60"/>
      <c r="AE65" s="105" t="e">
        <f t="shared" si="37"/>
        <v>#REF!</v>
      </c>
      <c r="AF65" s="105" t="e">
        <f t="shared" si="49"/>
        <v>#REF!</v>
      </c>
      <c r="AG65" s="105" t="e">
        <f t="shared" si="50"/>
        <v>#REF!</v>
      </c>
      <c r="AH65" s="105">
        <v>1000</v>
      </c>
      <c r="AI65" s="105">
        <v>2500</v>
      </c>
      <c r="AJ65" s="105">
        <v>300</v>
      </c>
      <c r="AL65" s="105">
        <v>50</v>
      </c>
      <c r="AM65" s="105">
        <f t="shared" si="51"/>
        <v>0</v>
      </c>
      <c r="AN65" s="105" t="e">
        <f t="shared" si="52"/>
        <v>#REF!</v>
      </c>
      <c r="AO65" s="105" t="e">
        <f t="shared" si="53"/>
        <v>#REF!</v>
      </c>
      <c r="AQ65" s="250">
        <v>600</v>
      </c>
    </row>
    <row r="66" spans="1:43" ht="14.25" hidden="1" customHeight="1">
      <c r="A66" s="83">
        <v>12</v>
      </c>
      <c r="B66" s="60" t="s">
        <v>927</v>
      </c>
      <c r="C66" s="108" t="e">
        <f t="shared" si="34"/>
        <v>#REF!</v>
      </c>
      <c r="D66" s="108" t="e">
        <f t="shared" si="35"/>
        <v>#REF!</v>
      </c>
      <c r="E66" s="108" t="e">
        <f t="shared" ref="E66:W66" si="62">E20-E45</f>
        <v>#REF!</v>
      </c>
      <c r="F66" s="108" t="e">
        <f t="shared" si="62"/>
        <v>#REF!</v>
      </c>
      <c r="G66" s="108" t="e">
        <f t="shared" si="62"/>
        <v>#REF!</v>
      </c>
      <c r="H66" s="108" t="e">
        <f t="shared" si="62"/>
        <v>#REF!</v>
      </c>
      <c r="I66" s="108" t="e">
        <f t="shared" si="62"/>
        <v>#REF!</v>
      </c>
      <c r="J66" s="108" t="e">
        <f t="shared" si="62"/>
        <v>#REF!</v>
      </c>
      <c r="K66" s="108" t="e">
        <f t="shared" si="62"/>
        <v>#REF!</v>
      </c>
      <c r="L66" s="108" t="e">
        <f t="shared" si="62"/>
        <v>#REF!</v>
      </c>
      <c r="M66" s="108" t="e">
        <f t="shared" si="62"/>
        <v>#REF!</v>
      </c>
      <c r="N66" s="108" t="e">
        <f t="shared" si="62"/>
        <v>#REF!</v>
      </c>
      <c r="O66" s="108" t="e">
        <f t="shared" si="62"/>
        <v>#REF!</v>
      </c>
      <c r="P66" s="108" t="e">
        <f t="shared" si="62"/>
        <v>#REF!</v>
      </c>
      <c r="Q66" s="108" t="e">
        <f t="shared" si="62"/>
        <v>#REF!</v>
      </c>
      <c r="R66" s="108" t="e">
        <f t="shared" si="62"/>
        <v>#REF!</v>
      </c>
      <c r="S66" s="108" t="e">
        <f t="shared" si="62"/>
        <v>#REF!</v>
      </c>
      <c r="T66" s="108" t="e">
        <f t="shared" si="62"/>
        <v>#REF!</v>
      </c>
      <c r="U66" s="108" t="e">
        <f t="shared" si="62"/>
        <v>#REF!</v>
      </c>
      <c r="V66" s="108">
        <f t="shared" si="62"/>
        <v>0</v>
      </c>
      <c r="W66" s="108">
        <f t="shared" si="62"/>
        <v>0</v>
      </c>
      <c r="X66" s="60"/>
      <c r="Y66" s="60"/>
      <c r="Z66" s="60"/>
      <c r="AA66" s="60"/>
      <c r="AB66" s="60"/>
      <c r="AC66" s="60"/>
      <c r="AE66" s="105" t="e">
        <f t="shared" si="37"/>
        <v>#REF!</v>
      </c>
      <c r="AF66" s="105" t="e">
        <f t="shared" si="49"/>
        <v>#REF!</v>
      </c>
      <c r="AG66" s="105" t="e">
        <f t="shared" si="50"/>
        <v>#REF!</v>
      </c>
      <c r="AH66" s="105">
        <v>600</v>
      </c>
      <c r="AI66" s="105">
        <v>6500</v>
      </c>
      <c r="AJ66" s="105">
        <v>500</v>
      </c>
      <c r="AL66" s="105">
        <v>0</v>
      </c>
      <c r="AM66" s="105">
        <f t="shared" si="51"/>
        <v>0</v>
      </c>
      <c r="AN66" s="105" t="e">
        <f t="shared" si="52"/>
        <v>#REF!</v>
      </c>
      <c r="AO66" s="105" t="e">
        <f t="shared" si="53"/>
        <v>#REF!</v>
      </c>
      <c r="AQ66" s="250">
        <v>0</v>
      </c>
    </row>
    <row r="67" spans="1:43" ht="14.25" customHeight="1">
      <c r="A67" s="83">
        <v>13</v>
      </c>
      <c r="B67" s="60" t="s">
        <v>928</v>
      </c>
      <c r="C67" s="108" t="e">
        <f t="shared" si="34"/>
        <v>#REF!</v>
      </c>
      <c r="D67" s="108" t="e">
        <f t="shared" si="35"/>
        <v>#REF!</v>
      </c>
      <c r="E67" s="108" t="e">
        <f t="shared" ref="E67:W67" si="63">E21-E46</f>
        <v>#REF!</v>
      </c>
      <c r="F67" s="108" t="e">
        <f t="shared" si="63"/>
        <v>#REF!</v>
      </c>
      <c r="G67" s="108" t="e">
        <f t="shared" si="63"/>
        <v>#REF!</v>
      </c>
      <c r="H67" s="108" t="e">
        <f t="shared" si="63"/>
        <v>#REF!</v>
      </c>
      <c r="I67" s="108" t="e">
        <f t="shared" si="63"/>
        <v>#REF!</v>
      </c>
      <c r="J67" s="108" t="e">
        <f t="shared" si="63"/>
        <v>#REF!</v>
      </c>
      <c r="K67" s="108" t="e">
        <f t="shared" si="63"/>
        <v>#REF!</v>
      </c>
      <c r="L67" s="108" t="e">
        <f t="shared" si="63"/>
        <v>#REF!</v>
      </c>
      <c r="M67" s="108" t="e">
        <f t="shared" si="63"/>
        <v>#REF!</v>
      </c>
      <c r="N67" s="108" t="e">
        <f t="shared" si="63"/>
        <v>#REF!</v>
      </c>
      <c r="O67" s="108" t="e">
        <f t="shared" si="63"/>
        <v>#REF!</v>
      </c>
      <c r="P67" s="108" t="e">
        <f t="shared" si="63"/>
        <v>#REF!</v>
      </c>
      <c r="Q67" s="108" t="e">
        <f t="shared" si="63"/>
        <v>#REF!</v>
      </c>
      <c r="R67" s="108" t="e">
        <f t="shared" si="63"/>
        <v>#REF!</v>
      </c>
      <c r="S67" s="108" t="e">
        <f t="shared" si="63"/>
        <v>#REF!</v>
      </c>
      <c r="T67" s="108" t="e">
        <f t="shared" si="63"/>
        <v>#REF!</v>
      </c>
      <c r="U67" s="108" t="e">
        <f t="shared" si="63"/>
        <v>#REF!</v>
      </c>
      <c r="V67" s="108">
        <f t="shared" si="63"/>
        <v>0</v>
      </c>
      <c r="W67" s="108">
        <f t="shared" si="63"/>
        <v>0</v>
      </c>
      <c r="X67" s="60"/>
      <c r="Y67" s="60"/>
      <c r="Z67" s="60"/>
      <c r="AA67" s="60"/>
      <c r="AB67" s="60"/>
      <c r="AC67" s="60"/>
      <c r="AE67" s="105" t="e">
        <f t="shared" si="37"/>
        <v>#REF!</v>
      </c>
      <c r="AF67" s="105" t="e">
        <f t="shared" si="49"/>
        <v>#REF!</v>
      </c>
      <c r="AG67" s="105" t="e">
        <f t="shared" si="50"/>
        <v>#REF!</v>
      </c>
      <c r="AH67" s="105">
        <v>450</v>
      </c>
      <c r="AI67" s="105">
        <v>400</v>
      </c>
      <c r="AJ67" s="105">
        <v>50</v>
      </c>
      <c r="AL67" s="105">
        <v>0</v>
      </c>
      <c r="AM67" s="105">
        <f t="shared" si="51"/>
        <v>0</v>
      </c>
      <c r="AN67" s="105" t="e">
        <f t="shared" si="52"/>
        <v>#REF!</v>
      </c>
      <c r="AO67" s="105" t="e">
        <f t="shared" si="53"/>
        <v>#REF!</v>
      </c>
      <c r="AQ67" s="250">
        <v>0</v>
      </c>
    </row>
    <row r="68" spans="1:43" ht="14.25" hidden="1" customHeight="1">
      <c r="A68" s="83">
        <v>14</v>
      </c>
      <c r="B68" s="60" t="s">
        <v>929</v>
      </c>
      <c r="C68" s="108" t="e">
        <f t="shared" si="34"/>
        <v>#REF!</v>
      </c>
      <c r="D68" s="108" t="e">
        <f t="shared" si="35"/>
        <v>#REF!</v>
      </c>
      <c r="E68" s="108" t="e">
        <f t="shared" ref="E68:W68" si="64">E22-E47</f>
        <v>#REF!</v>
      </c>
      <c r="F68" s="108" t="e">
        <f t="shared" si="64"/>
        <v>#REF!</v>
      </c>
      <c r="G68" s="108" t="e">
        <f t="shared" si="64"/>
        <v>#REF!</v>
      </c>
      <c r="H68" s="108" t="e">
        <f t="shared" si="64"/>
        <v>#REF!</v>
      </c>
      <c r="I68" s="108" t="e">
        <f t="shared" si="64"/>
        <v>#REF!</v>
      </c>
      <c r="J68" s="108" t="e">
        <f t="shared" si="64"/>
        <v>#REF!</v>
      </c>
      <c r="K68" s="108" t="e">
        <f t="shared" si="64"/>
        <v>#REF!</v>
      </c>
      <c r="L68" s="108" t="e">
        <f t="shared" si="64"/>
        <v>#REF!</v>
      </c>
      <c r="M68" s="108" t="e">
        <f t="shared" si="64"/>
        <v>#REF!</v>
      </c>
      <c r="N68" s="108" t="e">
        <f t="shared" si="64"/>
        <v>#REF!</v>
      </c>
      <c r="O68" s="108" t="e">
        <f t="shared" si="64"/>
        <v>#REF!</v>
      </c>
      <c r="P68" s="108" t="e">
        <f t="shared" si="64"/>
        <v>#REF!</v>
      </c>
      <c r="Q68" s="108" t="e">
        <f t="shared" si="64"/>
        <v>#REF!</v>
      </c>
      <c r="R68" s="108" t="e">
        <f t="shared" si="64"/>
        <v>#REF!</v>
      </c>
      <c r="S68" s="108" t="e">
        <f t="shared" si="64"/>
        <v>#REF!</v>
      </c>
      <c r="T68" s="108" t="e">
        <f t="shared" si="64"/>
        <v>#REF!</v>
      </c>
      <c r="U68" s="108" t="e">
        <f t="shared" si="64"/>
        <v>#REF!</v>
      </c>
      <c r="V68" s="108">
        <f t="shared" si="64"/>
        <v>0</v>
      </c>
      <c r="W68" s="108">
        <f t="shared" si="64"/>
        <v>0</v>
      </c>
      <c r="X68" s="60"/>
      <c r="Y68" s="60"/>
      <c r="Z68" s="60"/>
      <c r="AA68" s="60"/>
      <c r="AB68" s="60"/>
      <c r="AC68" s="60"/>
      <c r="AE68" s="105" t="e">
        <f t="shared" si="37"/>
        <v>#REF!</v>
      </c>
      <c r="AF68" s="105" t="e">
        <f t="shared" si="49"/>
        <v>#REF!</v>
      </c>
      <c r="AG68" s="105" t="e">
        <f t="shared" si="50"/>
        <v>#REF!</v>
      </c>
      <c r="AH68" s="105">
        <v>900</v>
      </c>
      <c r="AI68" s="105">
        <v>1000</v>
      </c>
      <c r="AJ68" s="105">
        <v>550</v>
      </c>
      <c r="AL68" s="105">
        <v>0</v>
      </c>
      <c r="AM68" s="105">
        <f t="shared" si="51"/>
        <v>0</v>
      </c>
      <c r="AN68" s="105" t="e">
        <f t="shared" si="52"/>
        <v>#REF!</v>
      </c>
      <c r="AO68" s="105" t="e">
        <f t="shared" si="53"/>
        <v>#REF!</v>
      </c>
      <c r="AQ68" s="250">
        <v>2600</v>
      </c>
    </row>
    <row r="69" spans="1:43" ht="14.25" hidden="1" customHeight="1">
      <c r="A69" s="83">
        <v>15</v>
      </c>
      <c r="B69" s="60" t="s">
        <v>930</v>
      </c>
      <c r="C69" s="108" t="e">
        <f t="shared" si="34"/>
        <v>#REF!</v>
      </c>
      <c r="D69" s="108" t="e">
        <f t="shared" si="35"/>
        <v>#REF!</v>
      </c>
      <c r="E69" s="108" t="e">
        <f t="shared" ref="E69:W69" si="65">E23-E48</f>
        <v>#REF!</v>
      </c>
      <c r="F69" s="108" t="e">
        <f t="shared" si="65"/>
        <v>#REF!</v>
      </c>
      <c r="G69" s="108" t="e">
        <f t="shared" si="65"/>
        <v>#REF!</v>
      </c>
      <c r="H69" s="108" t="e">
        <f t="shared" si="65"/>
        <v>#REF!</v>
      </c>
      <c r="I69" s="108" t="e">
        <f t="shared" si="65"/>
        <v>#REF!</v>
      </c>
      <c r="J69" s="108" t="e">
        <f t="shared" si="65"/>
        <v>#REF!</v>
      </c>
      <c r="K69" s="108" t="e">
        <f t="shared" si="65"/>
        <v>#REF!</v>
      </c>
      <c r="L69" s="108" t="e">
        <f t="shared" si="65"/>
        <v>#REF!</v>
      </c>
      <c r="M69" s="108" t="e">
        <f t="shared" si="65"/>
        <v>#REF!</v>
      </c>
      <c r="N69" s="108" t="e">
        <f t="shared" si="65"/>
        <v>#REF!</v>
      </c>
      <c r="O69" s="108" t="e">
        <f t="shared" si="65"/>
        <v>#REF!</v>
      </c>
      <c r="P69" s="108" t="e">
        <f t="shared" si="65"/>
        <v>#REF!</v>
      </c>
      <c r="Q69" s="108" t="e">
        <f t="shared" si="65"/>
        <v>#REF!</v>
      </c>
      <c r="R69" s="108" t="e">
        <f t="shared" si="65"/>
        <v>#REF!</v>
      </c>
      <c r="S69" s="108" t="e">
        <f t="shared" si="65"/>
        <v>#REF!</v>
      </c>
      <c r="T69" s="108" t="e">
        <f t="shared" si="65"/>
        <v>#REF!</v>
      </c>
      <c r="U69" s="108" t="e">
        <f t="shared" si="65"/>
        <v>#REF!</v>
      </c>
      <c r="V69" s="108">
        <f t="shared" si="65"/>
        <v>0</v>
      </c>
      <c r="W69" s="108">
        <f t="shared" si="65"/>
        <v>0</v>
      </c>
      <c r="X69" s="60"/>
      <c r="Y69" s="60"/>
      <c r="Z69" s="60"/>
      <c r="AA69" s="60"/>
      <c r="AB69" s="60"/>
      <c r="AC69" s="60"/>
      <c r="AE69" s="105" t="e">
        <f t="shared" si="37"/>
        <v>#REF!</v>
      </c>
      <c r="AF69" s="105" t="e">
        <f t="shared" si="49"/>
        <v>#REF!</v>
      </c>
      <c r="AG69" s="105" t="e">
        <f t="shared" si="50"/>
        <v>#REF!</v>
      </c>
      <c r="AH69" s="105">
        <v>930</v>
      </c>
      <c r="AI69" s="105">
        <v>1700</v>
      </c>
      <c r="AJ69" s="105">
        <v>100</v>
      </c>
      <c r="AL69" s="105">
        <v>20</v>
      </c>
      <c r="AM69" s="105">
        <f t="shared" si="51"/>
        <v>0</v>
      </c>
      <c r="AN69" s="105" t="e">
        <f t="shared" si="52"/>
        <v>#REF!</v>
      </c>
      <c r="AO69" s="105" t="e">
        <f t="shared" si="53"/>
        <v>#REF!</v>
      </c>
      <c r="AQ69" s="250">
        <v>2300</v>
      </c>
    </row>
    <row r="70" spans="1:43" ht="14.25" customHeight="1">
      <c r="A70" s="65"/>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row>
    <row r="73" spans="1:43" ht="14.25" customHeight="1">
      <c r="E73" s="1">
        <f>70/54</f>
        <v>1.2962962962962963</v>
      </c>
    </row>
    <row r="74" spans="1:43" ht="14.25" customHeight="1">
      <c r="H74" s="1">
        <f>39.6*1.125</f>
        <v>44.550000000000004</v>
      </c>
    </row>
    <row r="75" spans="1:43" ht="14.25" customHeight="1">
      <c r="H75" s="297">
        <f>+H74*1.125</f>
        <v>50.118750000000006</v>
      </c>
    </row>
  </sheetData>
  <customSheetViews>
    <customSheetView guid="{9F606621-8853-4836-9A7E-DBA5CF152671}" showPageBreaks="1" hiddenRows="1" hiddenColumns="1" topLeftCell="A4">
      <selection activeCell="J11" sqref="J11"/>
      <pageMargins left="0.7" right="0.7" top="0.75" bottom="0.75" header="0.3" footer="0.3"/>
      <pageSetup paperSize="9" orientation="portrait" r:id="rId1"/>
    </customSheetView>
    <customSheetView guid="{DB9039ED-C6EA-422D-9A5D-D152D95EDC67}" scale="85" showPageBreaks="1" printArea="1" hiddenRows="1" hiddenColumns="1" topLeftCell="A6">
      <pane xSplit="2" ySplit="2" topLeftCell="O8" activePane="bottomRight" state="frozen"/>
      <selection pane="bottomRight" activeCell="X6" sqref="X1:AC1048576"/>
      <pageMargins left="0.70866141732283472" right="0.70866141732283472" top="0.74803149606299213" bottom="0.74803149606299213" header="0.31496062992125984" footer="0.31496062992125984"/>
      <printOptions horizontalCentered="1"/>
      <pageSetup paperSize="8" scale="85" orientation="landscape" blackAndWhite="1" r:id="rId2"/>
    </customSheetView>
  </customSheetViews>
  <mergeCells count="21">
    <mergeCell ref="AX5:AX6"/>
    <mergeCell ref="AR5:AR6"/>
    <mergeCell ref="AQ5:AQ6"/>
    <mergeCell ref="AE5:AF5"/>
    <mergeCell ref="AS5:AT5"/>
    <mergeCell ref="AU5:AV5"/>
    <mergeCell ref="AH5:AK5"/>
    <mergeCell ref="AL5:AP5"/>
    <mergeCell ref="A1:AC1"/>
    <mergeCell ref="A2:AC2"/>
    <mergeCell ref="A3:AC3"/>
    <mergeCell ref="AA4:AC4"/>
    <mergeCell ref="B5:B6"/>
    <mergeCell ref="D5:D6"/>
    <mergeCell ref="V5:V6"/>
    <mergeCell ref="W5:W6"/>
    <mergeCell ref="A5:A6"/>
    <mergeCell ref="C5:C6"/>
    <mergeCell ref="E5:U5"/>
    <mergeCell ref="X5:AC5"/>
    <mergeCell ref="U4:W4"/>
  </mergeCell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sheetPr>
    <tabColor rgb="FFFF0000"/>
  </sheetPr>
  <dimension ref="A1:AS85"/>
  <sheetViews>
    <sheetView topLeftCell="B4" zoomScale="75" workbookViewId="0">
      <pane xSplit="1" ySplit="4" topLeftCell="C8" activePane="bottomRight" state="frozen"/>
      <selection activeCell="B4" sqref="B4"/>
      <selection pane="topRight" activeCell="C4" sqref="C4"/>
      <selection pane="bottomLeft" activeCell="B8" sqref="B8"/>
      <selection pane="bottomRight" activeCell="L25" sqref="L25"/>
    </sheetView>
  </sheetViews>
  <sheetFormatPr defaultColWidth="8.85546875" defaultRowHeight="15"/>
  <cols>
    <col min="1" max="1" width="5.28515625" style="195" customWidth="1"/>
    <col min="2" max="2" width="40.140625" style="195" customWidth="1"/>
    <col min="3" max="3" width="11.7109375" style="195" customWidth="1"/>
    <col min="4" max="5" width="11.140625" style="195" customWidth="1"/>
    <col min="6" max="6" width="12" style="195" customWidth="1"/>
    <col min="7" max="7" width="10.28515625" style="195" customWidth="1"/>
    <col min="8" max="8" width="10.7109375" style="195" customWidth="1"/>
    <col min="9" max="12" width="8.85546875" style="195"/>
    <col min="13" max="14" width="9.140625" style="196"/>
    <col min="15" max="15" width="10.5703125" style="196" customWidth="1"/>
    <col min="16" max="27" width="9.140625" style="196"/>
    <col min="28" max="28" width="11.7109375" style="196" customWidth="1"/>
    <col min="29" max="29" width="8.85546875" style="195"/>
    <col min="30" max="45" width="8.85546875" style="196"/>
    <col min="46" max="16384" width="8.85546875" style="195"/>
  </cols>
  <sheetData>
    <row r="1" spans="1:45" ht="15.75">
      <c r="J1" s="774" t="s">
        <v>492</v>
      </c>
      <c r="K1" s="774"/>
    </row>
    <row r="2" spans="1:45" ht="42" customHeight="1">
      <c r="A2" s="775" t="s">
        <v>833</v>
      </c>
      <c r="B2" s="775"/>
      <c r="C2" s="775"/>
      <c r="D2" s="775"/>
      <c r="E2" s="775"/>
      <c r="F2" s="775"/>
      <c r="G2" s="775"/>
      <c r="H2" s="775"/>
      <c r="I2" s="775"/>
      <c r="J2" s="775"/>
      <c r="K2" s="775"/>
    </row>
    <row r="3" spans="1:45" ht="15.75">
      <c r="A3" s="774"/>
      <c r="B3" s="774"/>
      <c r="C3" s="774"/>
      <c r="D3" s="774"/>
      <c r="E3" s="774"/>
      <c r="F3" s="774"/>
      <c r="G3" s="774"/>
      <c r="H3" s="774"/>
      <c r="I3" s="774"/>
      <c r="J3" s="774"/>
      <c r="K3" s="774"/>
    </row>
    <row r="4" spans="1:45" ht="15.75">
      <c r="K4" s="27" t="s">
        <v>56</v>
      </c>
    </row>
    <row r="5" spans="1:45" s="314" customFormat="1" ht="22.5" customHeight="1">
      <c r="A5" s="773" t="s">
        <v>3</v>
      </c>
      <c r="B5" s="773" t="s">
        <v>1358</v>
      </c>
      <c r="C5" s="773" t="s">
        <v>1357</v>
      </c>
      <c r="D5" s="773" t="s">
        <v>468</v>
      </c>
      <c r="E5" s="773"/>
      <c r="F5" s="773" t="s">
        <v>797</v>
      </c>
      <c r="G5" s="773" t="s">
        <v>468</v>
      </c>
      <c r="H5" s="773"/>
      <c r="I5" s="773" t="s">
        <v>346</v>
      </c>
      <c r="J5" s="773"/>
      <c r="K5" s="773"/>
      <c r="M5" s="226" t="s">
        <v>1073</v>
      </c>
      <c r="N5" s="226"/>
      <c r="O5" s="226"/>
      <c r="P5" s="226"/>
      <c r="Q5" s="226"/>
      <c r="R5" s="226"/>
      <c r="S5" s="226"/>
      <c r="T5" s="226"/>
      <c r="U5" s="226"/>
      <c r="V5" s="226"/>
      <c r="W5" s="226"/>
      <c r="X5" s="226"/>
      <c r="Y5" s="226"/>
      <c r="Z5" s="226"/>
      <c r="AA5" s="226"/>
      <c r="AB5" s="226"/>
      <c r="AD5" s="226" t="s">
        <v>1125</v>
      </c>
      <c r="AE5" s="226"/>
      <c r="AF5" s="226"/>
      <c r="AG5" s="226"/>
      <c r="AH5" s="226"/>
      <c r="AI5" s="226"/>
      <c r="AJ5" s="226"/>
      <c r="AK5" s="226"/>
      <c r="AL5" s="226"/>
      <c r="AM5" s="226"/>
      <c r="AN5" s="226"/>
      <c r="AO5" s="226"/>
      <c r="AP5" s="226"/>
      <c r="AQ5" s="226"/>
      <c r="AR5" s="226"/>
      <c r="AS5" s="226"/>
    </row>
    <row r="6" spans="1:45" s="315" customFormat="1" ht="74.25" customHeight="1">
      <c r="A6" s="773"/>
      <c r="B6" s="773"/>
      <c r="C6" s="773"/>
      <c r="D6" s="312" t="s">
        <v>834</v>
      </c>
      <c r="E6" s="312" t="s">
        <v>317</v>
      </c>
      <c r="F6" s="773"/>
      <c r="G6" s="312" t="s">
        <v>834</v>
      </c>
      <c r="H6" s="312" t="s">
        <v>317</v>
      </c>
      <c r="I6" s="312" t="s">
        <v>493</v>
      </c>
      <c r="J6" s="312" t="s">
        <v>834</v>
      </c>
      <c r="K6" s="312" t="s">
        <v>317</v>
      </c>
      <c r="M6" s="316" t="s">
        <v>1080</v>
      </c>
      <c r="N6" s="316" t="s">
        <v>1081</v>
      </c>
      <c r="O6" s="316" t="s">
        <v>1082</v>
      </c>
      <c r="P6" s="316" t="s">
        <v>1083</v>
      </c>
      <c r="Q6" s="316" t="s">
        <v>1100</v>
      </c>
      <c r="R6" s="316" t="s">
        <v>1091</v>
      </c>
      <c r="S6" s="316" t="s">
        <v>1101</v>
      </c>
      <c r="T6" s="316" t="s">
        <v>1104</v>
      </c>
      <c r="U6" s="322" t="s">
        <v>1107</v>
      </c>
      <c r="V6" s="316" t="s">
        <v>1109</v>
      </c>
      <c r="W6" s="316" t="s">
        <v>1110</v>
      </c>
      <c r="X6" s="316" t="s">
        <v>1111</v>
      </c>
      <c r="Y6" s="316" t="s">
        <v>1112</v>
      </c>
      <c r="Z6" s="316" t="s">
        <v>1116</v>
      </c>
      <c r="AA6" s="316" t="s">
        <v>1117</v>
      </c>
      <c r="AB6" s="316" t="s">
        <v>1126</v>
      </c>
      <c r="AD6" s="316" t="s">
        <v>1080</v>
      </c>
      <c r="AE6" s="316" t="s">
        <v>1081</v>
      </c>
      <c r="AF6" s="316" t="s">
        <v>1082</v>
      </c>
      <c r="AG6" s="316" t="s">
        <v>1083</v>
      </c>
      <c r="AH6" s="316" t="s">
        <v>1100</v>
      </c>
      <c r="AI6" s="316" t="s">
        <v>1091</v>
      </c>
      <c r="AJ6" s="316" t="s">
        <v>1101</v>
      </c>
      <c r="AK6" s="316" t="s">
        <v>1104</v>
      </c>
      <c r="AL6" s="316" t="s">
        <v>1107</v>
      </c>
      <c r="AM6" s="316" t="s">
        <v>1109</v>
      </c>
      <c r="AN6" s="316" t="s">
        <v>1110</v>
      </c>
      <c r="AO6" s="316" t="s">
        <v>1111</v>
      </c>
      <c r="AP6" s="316" t="s">
        <v>1112</v>
      </c>
      <c r="AQ6" s="316" t="s">
        <v>1116</v>
      </c>
      <c r="AR6" s="316"/>
      <c r="AS6" s="316"/>
    </row>
    <row r="7" spans="1:45" s="314" customFormat="1" ht="15.75">
      <c r="A7" s="312" t="s">
        <v>15</v>
      </c>
      <c r="B7" s="312" t="s">
        <v>16</v>
      </c>
      <c r="C7" s="312" t="s">
        <v>494</v>
      </c>
      <c r="D7" s="312">
        <v>2</v>
      </c>
      <c r="E7" s="312">
        <v>3</v>
      </c>
      <c r="F7" s="312" t="s">
        <v>495</v>
      </c>
      <c r="G7" s="312">
        <v>5</v>
      </c>
      <c r="H7" s="312">
        <v>6</v>
      </c>
      <c r="I7" s="312" t="s">
        <v>496</v>
      </c>
      <c r="J7" s="312" t="s">
        <v>497</v>
      </c>
      <c r="K7" s="312" t="s">
        <v>498</v>
      </c>
      <c r="M7" s="226"/>
      <c r="N7" s="226"/>
      <c r="O7" s="226"/>
      <c r="P7" s="226"/>
      <c r="Q7" s="226"/>
      <c r="R7" s="226"/>
      <c r="S7" s="226"/>
      <c r="T7" s="226"/>
      <c r="U7" s="226"/>
      <c r="V7" s="226"/>
      <c r="W7" s="226"/>
      <c r="X7" s="226"/>
      <c r="Y7" s="226"/>
      <c r="Z7" s="226"/>
      <c r="AA7" s="226"/>
      <c r="AB7" s="226"/>
      <c r="AD7" s="226"/>
      <c r="AE7" s="226"/>
      <c r="AF7" s="226"/>
      <c r="AG7" s="226"/>
      <c r="AH7" s="226"/>
      <c r="AI7" s="226"/>
      <c r="AJ7" s="226"/>
      <c r="AK7" s="226"/>
      <c r="AL7" s="226"/>
      <c r="AM7" s="226"/>
      <c r="AN7" s="226"/>
      <c r="AO7" s="226"/>
      <c r="AP7" s="226"/>
      <c r="AQ7" s="226"/>
      <c r="AR7" s="226"/>
      <c r="AS7" s="226"/>
    </row>
    <row r="8" spans="1:45" s="314" customFormat="1" ht="15.75">
      <c r="A8" s="71"/>
      <c r="B8" s="72" t="s">
        <v>90</v>
      </c>
      <c r="C8" s="167" t="e">
        <f>+D8+E8</f>
        <v>#REF!</v>
      </c>
      <c r="D8" s="167" t="e">
        <f>+D9+D49+D83</f>
        <v>#REF!</v>
      </c>
      <c r="E8" s="167" t="e">
        <f>+E9+E49+E83</f>
        <v>#REF!</v>
      </c>
      <c r="F8" s="167">
        <f>+F9+F49+F83</f>
        <v>10974713.363262333</v>
      </c>
      <c r="G8" s="167">
        <f>+G9+G49+G83</f>
        <v>4883292.9579569995</v>
      </c>
      <c r="H8" s="167">
        <f>+H9+H49+H83</f>
        <v>6091420.4053053334</v>
      </c>
      <c r="I8" s="169" t="e">
        <f t="shared" ref="I8:K9" si="0">F8/C8</f>
        <v>#REF!</v>
      </c>
      <c r="J8" s="169" t="e">
        <f t="shared" si="0"/>
        <v>#REF!</v>
      </c>
      <c r="K8" s="169" t="e">
        <f t="shared" si="0"/>
        <v>#REF!</v>
      </c>
      <c r="M8" s="167">
        <f t="shared" ref="M8:AB8" si="1">+M9+M49+M83</f>
        <v>537288.52816900006</v>
      </c>
      <c r="N8" s="167">
        <f t="shared" si="1"/>
        <v>579245.22280000011</v>
      </c>
      <c r="O8" s="167">
        <f t="shared" si="1"/>
        <v>494807.48995299998</v>
      </c>
      <c r="P8" s="167">
        <f t="shared" si="1"/>
        <v>324098.601953</v>
      </c>
      <c r="Q8" s="167">
        <f t="shared" si="1"/>
        <v>935180.76385200012</v>
      </c>
      <c r="R8" s="167">
        <f t="shared" si="1"/>
        <v>323485.33333333331</v>
      </c>
      <c r="S8" s="167">
        <f t="shared" si="1"/>
        <v>562910.51750066667</v>
      </c>
      <c r="T8" s="167">
        <f t="shared" si="1"/>
        <v>347139.43837599998</v>
      </c>
      <c r="U8" s="167">
        <f t="shared" si="1"/>
        <v>292334</v>
      </c>
      <c r="V8" s="167">
        <f t="shared" si="1"/>
        <v>301419.18333333335</v>
      </c>
      <c r="W8" s="167">
        <f t="shared" si="1"/>
        <v>296773.46499999997</v>
      </c>
      <c r="X8" s="167">
        <f t="shared" si="1"/>
        <v>286161.28987799998</v>
      </c>
      <c r="Y8" s="167">
        <f t="shared" si="1"/>
        <v>256564.07835100003</v>
      </c>
      <c r="Z8" s="167">
        <f t="shared" si="1"/>
        <v>343461.30799999996</v>
      </c>
      <c r="AA8" s="167">
        <f t="shared" si="1"/>
        <v>182565.71400000001</v>
      </c>
      <c r="AB8" s="167">
        <f t="shared" si="1"/>
        <v>6063434.9344993336</v>
      </c>
      <c r="AC8" s="226">
        <f>AB8-H8</f>
        <v>-27985.470805999823</v>
      </c>
      <c r="AD8" s="167">
        <f t="shared" ref="AD8:AS8" si="2">+AD9+AD49+AD83</f>
        <v>482249</v>
      </c>
      <c r="AE8" s="167">
        <f t="shared" si="2"/>
        <v>444063</v>
      </c>
      <c r="AF8" s="167">
        <f t="shared" si="2"/>
        <v>454088</v>
      </c>
      <c r="AG8" s="167">
        <f t="shared" si="2"/>
        <v>322553.06800000003</v>
      </c>
      <c r="AH8" s="167">
        <f t="shared" si="2"/>
        <v>0</v>
      </c>
      <c r="AI8" s="167">
        <f t="shared" si="2"/>
        <v>0</v>
      </c>
      <c r="AJ8" s="167">
        <f t="shared" si="2"/>
        <v>495635</v>
      </c>
      <c r="AK8" s="167">
        <f t="shared" si="2"/>
        <v>326413</v>
      </c>
      <c r="AL8" s="167">
        <f t="shared" si="2"/>
        <v>256060</v>
      </c>
      <c r="AM8" s="167">
        <f t="shared" si="2"/>
        <v>337144</v>
      </c>
      <c r="AN8" s="167">
        <f t="shared" si="2"/>
        <v>305164</v>
      </c>
      <c r="AO8" s="167">
        <f t="shared" si="2"/>
        <v>265790</v>
      </c>
      <c r="AP8" s="167">
        <f t="shared" si="2"/>
        <v>245777</v>
      </c>
      <c r="AQ8" s="167">
        <f t="shared" si="2"/>
        <v>325529</v>
      </c>
      <c r="AR8" s="167">
        <f t="shared" si="2"/>
        <v>0</v>
      </c>
      <c r="AS8" s="167">
        <f t="shared" si="2"/>
        <v>0</v>
      </c>
    </row>
    <row r="9" spans="1:45" s="314" customFormat="1" ht="15.75">
      <c r="A9" s="74" t="s">
        <v>15</v>
      </c>
      <c r="B9" s="313" t="s">
        <v>386</v>
      </c>
      <c r="C9" s="168" t="e">
        <f t="shared" ref="C9:C83" si="3">+D9+E9</f>
        <v>#REF!</v>
      </c>
      <c r="D9" s="168" t="e">
        <f>D10+D27+D45+D46+D47+D48</f>
        <v>#REF!</v>
      </c>
      <c r="E9" s="168" t="e">
        <f>E10+E27+E45+E46+E47+E48</f>
        <v>#REF!</v>
      </c>
      <c r="F9" s="168">
        <f>F10+F27+F45+F46+F47+F48</f>
        <v>9950737.1872623339</v>
      </c>
      <c r="G9" s="168">
        <f>G10+G27+G45+G46+G47+G48</f>
        <v>4569426.9579569995</v>
      </c>
      <c r="H9" s="168">
        <f>H10+H27+H45+H46+H47+H48</f>
        <v>5381310.2293053335</v>
      </c>
      <c r="I9" s="169" t="e">
        <f t="shared" si="0"/>
        <v>#REF!</v>
      </c>
      <c r="J9" s="169" t="e">
        <f t="shared" si="0"/>
        <v>#REF!</v>
      </c>
      <c r="K9" s="169" t="e">
        <f t="shared" si="0"/>
        <v>#REF!</v>
      </c>
      <c r="M9" s="168">
        <f>M10+M27+M45+M46+M47+M48</f>
        <v>473817.21822699998</v>
      </c>
      <c r="N9" s="168">
        <f t="shared" ref="N9:AB9" si="4">N10+N27+N45+N46+N47+N48</f>
        <v>482153.94080000004</v>
      </c>
      <c r="O9" s="168">
        <f t="shared" si="4"/>
        <v>455873.32</v>
      </c>
      <c r="P9" s="168">
        <f t="shared" si="4"/>
        <v>314305.75400000002</v>
      </c>
      <c r="Q9" s="168">
        <f t="shared" si="4"/>
        <v>748404.88910300005</v>
      </c>
      <c r="R9" s="168">
        <f t="shared" si="4"/>
        <v>311964.33333333331</v>
      </c>
      <c r="S9" s="168">
        <f t="shared" si="4"/>
        <v>505476.10275166674</v>
      </c>
      <c r="T9" s="168">
        <f t="shared" si="4"/>
        <v>335238.59042299999</v>
      </c>
      <c r="U9" s="168">
        <f t="shared" si="4"/>
        <v>277607</v>
      </c>
      <c r="V9" s="168">
        <f t="shared" si="4"/>
        <v>285701.18333333335</v>
      </c>
      <c r="W9" s="168">
        <f t="shared" si="4"/>
        <v>260190.85799999998</v>
      </c>
      <c r="X9" s="168">
        <f t="shared" si="4"/>
        <v>270151.07333400002</v>
      </c>
      <c r="Y9" s="168">
        <f t="shared" si="4"/>
        <v>245547.94400000002</v>
      </c>
      <c r="Z9" s="168">
        <f t="shared" si="4"/>
        <v>313146.30799999996</v>
      </c>
      <c r="AA9" s="168">
        <f t="shared" si="4"/>
        <v>174698.71400000001</v>
      </c>
      <c r="AB9" s="168">
        <f t="shared" si="4"/>
        <v>5454277.2293053335</v>
      </c>
      <c r="AC9" s="226">
        <f t="shared" ref="AC9:AC75" si="5">AB9-H9</f>
        <v>72967</v>
      </c>
      <c r="AD9" s="168">
        <f>AD10+AD27+AD45+AD46+AD47+AD48</f>
        <v>475865</v>
      </c>
      <c r="AE9" s="168">
        <f t="shared" ref="AE9:AS9" si="6">AE10+AE27+AE45+AE46+AE47+AE48</f>
        <v>426923</v>
      </c>
      <c r="AF9" s="168">
        <f t="shared" si="6"/>
        <v>451057</v>
      </c>
      <c r="AG9" s="168">
        <f t="shared" si="6"/>
        <v>317387.06800000003</v>
      </c>
      <c r="AH9" s="168">
        <f t="shared" si="6"/>
        <v>0</v>
      </c>
      <c r="AI9" s="168">
        <f t="shared" si="6"/>
        <v>0</v>
      </c>
      <c r="AJ9" s="168">
        <f t="shared" si="6"/>
        <v>478983</v>
      </c>
      <c r="AK9" s="168">
        <f t="shared" si="6"/>
        <v>326413</v>
      </c>
      <c r="AL9" s="168">
        <f t="shared" si="6"/>
        <v>256060</v>
      </c>
      <c r="AM9" s="168">
        <f t="shared" si="6"/>
        <v>337144</v>
      </c>
      <c r="AN9" s="168">
        <f t="shared" si="6"/>
        <v>305164</v>
      </c>
      <c r="AO9" s="168">
        <f t="shared" si="6"/>
        <v>265790</v>
      </c>
      <c r="AP9" s="168">
        <f t="shared" si="6"/>
        <v>245777</v>
      </c>
      <c r="AQ9" s="168">
        <f t="shared" si="6"/>
        <v>325529</v>
      </c>
      <c r="AR9" s="168">
        <f t="shared" si="6"/>
        <v>0</v>
      </c>
      <c r="AS9" s="168">
        <f t="shared" si="6"/>
        <v>0</v>
      </c>
    </row>
    <row r="10" spans="1:45" s="314" customFormat="1" ht="15.75">
      <c r="A10" s="74" t="s">
        <v>83</v>
      </c>
      <c r="B10" s="313" t="s">
        <v>340</v>
      </c>
      <c r="C10" s="168" t="e">
        <f t="shared" si="3"/>
        <v>#REF!</v>
      </c>
      <c r="D10" s="168" t="e">
        <f>+D11+D25+D26</f>
        <v>#REF!</v>
      </c>
      <c r="E10" s="168" t="e">
        <f>+E11+E25+E26</f>
        <v>#REF!</v>
      </c>
      <c r="F10" s="168">
        <f>+F11+F25+F26</f>
        <v>2988610.5812999997</v>
      </c>
      <c r="G10" s="168">
        <f>+G11+G25+G26</f>
        <v>2065217.088</v>
      </c>
      <c r="H10" s="168">
        <f>+H11+H25+H26</f>
        <v>923393.49329999997</v>
      </c>
      <c r="I10" s="169" t="e">
        <f t="shared" ref="I10:I67" si="7">F10/C10</f>
        <v>#REF!</v>
      </c>
      <c r="J10" s="169" t="e">
        <f t="shared" ref="J10:J67" si="8">G10/D10</f>
        <v>#REF!</v>
      </c>
      <c r="K10" s="169" t="e">
        <f t="shared" ref="K10:K56" si="9">H10/E10</f>
        <v>#REF!</v>
      </c>
      <c r="M10" s="168">
        <f>+M11+M25+M26</f>
        <v>104023</v>
      </c>
      <c r="N10" s="168">
        <f t="shared" ref="N10:AB10" si="10">+N11+N25+N26</f>
        <v>96967.5</v>
      </c>
      <c r="O10" s="168">
        <f t="shared" si="10"/>
        <v>90682</v>
      </c>
      <c r="P10" s="168">
        <f t="shared" si="10"/>
        <v>34145</v>
      </c>
      <c r="Q10" s="168">
        <f t="shared" si="10"/>
        <v>220249</v>
      </c>
      <c r="R10" s="168">
        <f t="shared" si="10"/>
        <v>30115</v>
      </c>
      <c r="S10" s="168">
        <f t="shared" si="10"/>
        <v>92501.393299999996</v>
      </c>
      <c r="T10" s="168">
        <f t="shared" si="10"/>
        <v>27266</v>
      </c>
      <c r="U10" s="168">
        <f t="shared" si="10"/>
        <v>34099</v>
      </c>
      <c r="V10" s="168">
        <f t="shared" si="10"/>
        <v>30852.6</v>
      </c>
      <c r="W10" s="168">
        <f t="shared" si="10"/>
        <v>41984</v>
      </c>
      <c r="X10" s="168">
        <f t="shared" si="10"/>
        <v>30229</v>
      </c>
      <c r="Y10" s="168">
        <f t="shared" si="10"/>
        <v>20401</v>
      </c>
      <c r="Z10" s="168">
        <f t="shared" si="10"/>
        <v>46908</v>
      </c>
      <c r="AA10" s="168">
        <f t="shared" si="10"/>
        <v>22971</v>
      </c>
      <c r="AB10" s="168">
        <f t="shared" si="10"/>
        <v>923393.49329999997</v>
      </c>
      <c r="AC10" s="226">
        <f t="shared" si="5"/>
        <v>0</v>
      </c>
      <c r="AD10" s="168">
        <f>+AD11+AD25+AD26</f>
        <v>82045</v>
      </c>
      <c r="AE10" s="168">
        <f t="shared" ref="AE10:AS10" si="11">+AE11+AE25+AE26</f>
        <v>20000</v>
      </c>
      <c r="AF10" s="168">
        <f t="shared" si="11"/>
        <v>70982</v>
      </c>
      <c r="AG10" s="168">
        <f t="shared" si="11"/>
        <v>31595</v>
      </c>
      <c r="AH10" s="168">
        <f t="shared" si="11"/>
        <v>0</v>
      </c>
      <c r="AI10" s="168">
        <f t="shared" si="11"/>
        <v>0</v>
      </c>
      <c r="AJ10" s="168">
        <f t="shared" si="11"/>
        <v>53457</v>
      </c>
      <c r="AK10" s="168">
        <f t="shared" si="11"/>
        <v>19306</v>
      </c>
      <c r="AL10" s="168">
        <f t="shared" si="11"/>
        <v>20329</v>
      </c>
      <c r="AM10" s="168">
        <f t="shared" si="11"/>
        <v>24856</v>
      </c>
      <c r="AN10" s="168">
        <f t="shared" si="11"/>
        <v>56184</v>
      </c>
      <c r="AO10" s="168">
        <f t="shared" si="11"/>
        <v>26899</v>
      </c>
      <c r="AP10" s="168">
        <f t="shared" si="11"/>
        <v>16141</v>
      </c>
      <c r="AQ10" s="168">
        <f t="shared" si="11"/>
        <v>48702</v>
      </c>
      <c r="AR10" s="168">
        <f t="shared" si="11"/>
        <v>0</v>
      </c>
      <c r="AS10" s="168">
        <f t="shared" si="11"/>
        <v>0</v>
      </c>
    </row>
    <row r="11" spans="1:45" ht="15.75">
      <c r="A11" s="76">
        <v>1</v>
      </c>
      <c r="B11" s="77" t="s">
        <v>387</v>
      </c>
      <c r="C11" s="158" t="e">
        <f t="shared" si="3"/>
        <v>#REF!</v>
      </c>
      <c r="D11" s="158" t="e">
        <f>+D15</f>
        <v>#REF!</v>
      </c>
      <c r="E11" s="158" t="e">
        <f>+E15</f>
        <v>#REF!</v>
      </c>
      <c r="F11" s="158">
        <f>+F15</f>
        <v>2988610.5812999997</v>
      </c>
      <c r="G11" s="158">
        <f>+G15</f>
        <v>2065217.088</v>
      </c>
      <c r="H11" s="158">
        <f>+H15</f>
        <v>923393.49329999997</v>
      </c>
      <c r="I11" s="173" t="e">
        <f t="shared" si="7"/>
        <v>#REF!</v>
      </c>
      <c r="J11" s="173" t="e">
        <f t="shared" si="8"/>
        <v>#REF!</v>
      </c>
      <c r="K11" s="173" t="e">
        <f t="shared" si="9"/>
        <v>#REF!</v>
      </c>
      <c r="M11" s="158">
        <f>+M15</f>
        <v>104023</v>
      </c>
      <c r="N11" s="158">
        <f t="shared" ref="N11:AB11" si="12">+N15</f>
        <v>96967.5</v>
      </c>
      <c r="O11" s="158">
        <f t="shared" si="12"/>
        <v>90682</v>
      </c>
      <c r="P11" s="158">
        <f t="shared" si="12"/>
        <v>34145</v>
      </c>
      <c r="Q11" s="158">
        <f t="shared" si="12"/>
        <v>220249</v>
      </c>
      <c r="R11" s="158">
        <f t="shared" si="12"/>
        <v>30115</v>
      </c>
      <c r="S11" s="158">
        <f t="shared" si="12"/>
        <v>92501.393299999996</v>
      </c>
      <c r="T11" s="158">
        <f t="shared" si="12"/>
        <v>27266</v>
      </c>
      <c r="U11" s="158">
        <f t="shared" si="12"/>
        <v>34099</v>
      </c>
      <c r="V11" s="158">
        <f t="shared" si="12"/>
        <v>30852.6</v>
      </c>
      <c r="W11" s="158">
        <f t="shared" si="12"/>
        <v>41984</v>
      </c>
      <c r="X11" s="158">
        <f t="shared" si="12"/>
        <v>30229</v>
      </c>
      <c r="Y11" s="158">
        <f t="shared" si="12"/>
        <v>20401</v>
      </c>
      <c r="Z11" s="158">
        <f t="shared" si="12"/>
        <v>46908</v>
      </c>
      <c r="AA11" s="158">
        <f t="shared" si="12"/>
        <v>22971</v>
      </c>
      <c r="AB11" s="158">
        <f t="shared" si="12"/>
        <v>923393.49329999997</v>
      </c>
      <c r="AC11" s="226">
        <f t="shared" si="5"/>
        <v>0</v>
      </c>
      <c r="AD11" s="158">
        <f>+AD15</f>
        <v>82045</v>
      </c>
      <c r="AE11" s="158">
        <f t="shared" ref="AE11:AS11" si="13">+AE15</f>
        <v>20000</v>
      </c>
      <c r="AF11" s="158">
        <f t="shared" si="13"/>
        <v>70982</v>
      </c>
      <c r="AG11" s="158">
        <f t="shared" si="13"/>
        <v>31595</v>
      </c>
      <c r="AH11" s="158">
        <f t="shared" si="13"/>
        <v>0</v>
      </c>
      <c r="AI11" s="158">
        <f t="shared" si="13"/>
        <v>0</v>
      </c>
      <c r="AJ11" s="158">
        <f t="shared" si="13"/>
        <v>53457</v>
      </c>
      <c r="AK11" s="158">
        <f t="shared" si="13"/>
        <v>19306</v>
      </c>
      <c r="AL11" s="158">
        <f t="shared" si="13"/>
        <v>20329</v>
      </c>
      <c r="AM11" s="158">
        <f t="shared" si="13"/>
        <v>24856</v>
      </c>
      <c r="AN11" s="158">
        <f t="shared" si="13"/>
        <v>56184</v>
      </c>
      <c r="AO11" s="158">
        <f t="shared" si="13"/>
        <v>26899</v>
      </c>
      <c r="AP11" s="158">
        <f t="shared" si="13"/>
        <v>16141</v>
      </c>
      <c r="AQ11" s="158">
        <f t="shared" si="13"/>
        <v>48702</v>
      </c>
      <c r="AR11" s="158">
        <f t="shared" si="13"/>
        <v>0</v>
      </c>
      <c r="AS11" s="158">
        <f t="shared" si="13"/>
        <v>0</v>
      </c>
    </row>
    <row r="12" spans="1:45" ht="15.75">
      <c r="A12" s="76"/>
      <c r="B12" s="78" t="s">
        <v>388</v>
      </c>
      <c r="C12" s="158">
        <f t="shared" si="3"/>
        <v>0</v>
      </c>
      <c r="D12" s="158"/>
      <c r="E12" s="158"/>
      <c r="F12" s="158"/>
      <c r="G12" s="158"/>
      <c r="H12" s="158"/>
      <c r="I12" s="173"/>
      <c r="J12" s="173"/>
      <c r="K12" s="173"/>
      <c r="M12" s="158"/>
      <c r="N12" s="158"/>
      <c r="O12" s="158"/>
      <c r="P12" s="158"/>
      <c r="Q12" s="158"/>
      <c r="R12" s="158"/>
      <c r="S12" s="158"/>
      <c r="T12" s="158"/>
      <c r="U12" s="158"/>
      <c r="V12" s="158"/>
      <c r="W12" s="158"/>
      <c r="X12" s="158"/>
      <c r="Y12" s="158"/>
      <c r="Z12" s="158"/>
      <c r="AA12" s="158"/>
      <c r="AB12" s="158"/>
      <c r="AC12" s="226">
        <f t="shared" si="5"/>
        <v>0</v>
      </c>
      <c r="AD12" s="158"/>
      <c r="AE12" s="158"/>
      <c r="AF12" s="158"/>
      <c r="AG12" s="158"/>
      <c r="AH12" s="158"/>
      <c r="AI12" s="158"/>
      <c r="AJ12" s="158"/>
      <c r="AK12" s="158"/>
      <c r="AL12" s="158"/>
      <c r="AM12" s="158"/>
      <c r="AN12" s="158"/>
      <c r="AO12" s="158"/>
      <c r="AP12" s="158"/>
      <c r="AQ12" s="158"/>
      <c r="AR12" s="158"/>
      <c r="AS12" s="158"/>
    </row>
    <row r="13" spans="1:45" ht="15.75">
      <c r="A13" s="76" t="s">
        <v>22</v>
      </c>
      <c r="B13" s="78" t="s">
        <v>389</v>
      </c>
      <c r="C13" s="158">
        <f t="shared" si="3"/>
        <v>0</v>
      </c>
      <c r="D13" s="158"/>
      <c r="E13" s="158"/>
      <c r="F13" s="158"/>
      <c r="G13" s="158"/>
      <c r="H13" s="158"/>
      <c r="I13" s="173"/>
      <c r="J13" s="173"/>
      <c r="K13" s="173"/>
      <c r="M13" s="158"/>
      <c r="N13" s="158"/>
      <c r="O13" s="158"/>
      <c r="P13" s="158"/>
      <c r="Q13" s="158"/>
      <c r="R13" s="158"/>
      <c r="S13" s="158"/>
      <c r="T13" s="158"/>
      <c r="U13" s="158"/>
      <c r="V13" s="158"/>
      <c r="W13" s="158"/>
      <c r="X13" s="158"/>
      <c r="Y13" s="158"/>
      <c r="Z13" s="158"/>
      <c r="AA13" s="158"/>
      <c r="AB13" s="158"/>
      <c r="AC13" s="226">
        <f t="shared" si="5"/>
        <v>0</v>
      </c>
      <c r="AD13" s="158"/>
      <c r="AE13" s="158"/>
      <c r="AF13" s="158"/>
      <c r="AG13" s="158"/>
      <c r="AH13" s="158"/>
      <c r="AI13" s="158"/>
      <c r="AJ13" s="158"/>
      <c r="AK13" s="158"/>
      <c r="AL13" s="158"/>
      <c r="AM13" s="158"/>
      <c r="AN13" s="158"/>
      <c r="AO13" s="158"/>
      <c r="AP13" s="158"/>
      <c r="AQ13" s="158"/>
      <c r="AR13" s="158"/>
      <c r="AS13" s="158"/>
    </row>
    <row r="14" spans="1:45" ht="15.75">
      <c r="A14" s="76" t="s">
        <v>22</v>
      </c>
      <c r="B14" s="78" t="s">
        <v>390</v>
      </c>
      <c r="C14" s="158">
        <f t="shared" si="3"/>
        <v>0</v>
      </c>
      <c r="D14" s="158"/>
      <c r="E14" s="158"/>
      <c r="F14" s="158"/>
      <c r="G14" s="158"/>
      <c r="H14" s="158"/>
      <c r="I14" s="173"/>
      <c r="J14" s="173"/>
      <c r="K14" s="173"/>
      <c r="M14" s="158"/>
      <c r="N14" s="158"/>
      <c r="O14" s="158"/>
      <c r="P14" s="158"/>
      <c r="Q14" s="158"/>
      <c r="R14" s="158"/>
      <c r="S14" s="158"/>
      <c r="T14" s="158"/>
      <c r="U14" s="158"/>
      <c r="V14" s="158"/>
      <c r="W14" s="158"/>
      <c r="X14" s="158"/>
      <c r="Y14" s="158"/>
      <c r="Z14" s="158"/>
      <c r="AA14" s="158"/>
      <c r="AB14" s="158"/>
      <c r="AC14" s="226">
        <f t="shared" si="5"/>
        <v>0</v>
      </c>
      <c r="AD14" s="158"/>
      <c r="AE14" s="158"/>
      <c r="AF14" s="158"/>
      <c r="AG14" s="158"/>
      <c r="AH14" s="158"/>
      <c r="AI14" s="158"/>
      <c r="AJ14" s="158"/>
      <c r="AK14" s="158"/>
      <c r="AL14" s="158"/>
      <c r="AM14" s="158"/>
      <c r="AN14" s="158"/>
      <c r="AO14" s="158"/>
      <c r="AP14" s="158"/>
      <c r="AQ14" s="158"/>
      <c r="AR14" s="158"/>
      <c r="AS14" s="158"/>
    </row>
    <row r="15" spans="1:45" ht="15.75">
      <c r="A15" s="76"/>
      <c r="B15" s="78" t="s">
        <v>391</v>
      </c>
      <c r="C15" s="158" t="e">
        <f t="shared" si="3"/>
        <v>#REF!</v>
      </c>
      <c r="D15" s="158" t="e">
        <f>SUM(D16:D19)</f>
        <v>#REF!</v>
      </c>
      <c r="E15" s="158" t="e">
        <f>SUM(E16:E19)</f>
        <v>#REF!</v>
      </c>
      <c r="F15" s="158">
        <f>SUM(F16:F19)</f>
        <v>2988610.5812999997</v>
      </c>
      <c r="G15" s="158">
        <f>SUM(G16:G19)</f>
        <v>2065217.088</v>
      </c>
      <c r="H15" s="158">
        <f>SUM(H16:H19)</f>
        <v>923393.49329999997</v>
      </c>
      <c r="I15" s="173" t="e">
        <f t="shared" si="7"/>
        <v>#REF!</v>
      </c>
      <c r="J15" s="173" t="e">
        <f t="shared" si="8"/>
        <v>#REF!</v>
      </c>
      <c r="K15" s="173" t="e">
        <f t="shared" si="9"/>
        <v>#REF!</v>
      </c>
      <c r="M15" s="158">
        <f>SUM(M16:M19)</f>
        <v>104023</v>
      </c>
      <c r="N15" s="158">
        <f t="shared" ref="N15:AB15" si="14">SUM(N16:N19)</f>
        <v>96967.5</v>
      </c>
      <c r="O15" s="158">
        <f t="shared" si="14"/>
        <v>90682</v>
      </c>
      <c r="P15" s="158">
        <f t="shared" si="14"/>
        <v>34145</v>
      </c>
      <c r="Q15" s="158">
        <f t="shared" si="14"/>
        <v>220249</v>
      </c>
      <c r="R15" s="158">
        <f t="shared" si="14"/>
        <v>30115</v>
      </c>
      <c r="S15" s="158">
        <f t="shared" si="14"/>
        <v>92501.393299999996</v>
      </c>
      <c r="T15" s="158">
        <f t="shared" si="14"/>
        <v>27266</v>
      </c>
      <c r="U15" s="158">
        <f t="shared" si="14"/>
        <v>34099</v>
      </c>
      <c r="V15" s="158">
        <f t="shared" si="14"/>
        <v>30852.6</v>
      </c>
      <c r="W15" s="158">
        <f t="shared" si="14"/>
        <v>41984</v>
      </c>
      <c r="X15" s="158">
        <f t="shared" si="14"/>
        <v>30229</v>
      </c>
      <c r="Y15" s="158">
        <f t="shared" si="14"/>
        <v>20401</v>
      </c>
      <c r="Z15" s="158">
        <f t="shared" si="14"/>
        <v>46908</v>
      </c>
      <c r="AA15" s="158">
        <f t="shared" si="14"/>
        <v>22971</v>
      </c>
      <c r="AB15" s="158">
        <f t="shared" si="14"/>
        <v>923393.49329999997</v>
      </c>
      <c r="AC15" s="226">
        <f t="shared" si="5"/>
        <v>0</v>
      </c>
      <c r="AD15" s="158">
        <f>SUM(AD16:AD19)</f>
        <v>82045</v>
      </c>
      <c r="AE15" s="158">
        <f t="shared" ref="AE15:AS15" si="15">SUM(AE16:AE19)</f>
        <v>20000</v>
      </c>
      <c r="AF15" s="158">
        <f t="shared" si="15"/>
        <v>70982</v>
      </c>
      <c r="AG15" s="158">
        <f t="shared" si="15"/>
        <v>31595</v>
      </c>
      <c r="AH15" s="158">
        <f t="shared" si="15"/>
        <v>0</v>
      </c>
      <c r="AI15" s="158">
        <f t="shared" si="15"/>
        <v>0</v>
      </c>
      <c r="AJ15" s="158">
        <f t="shared" si="15"/>
        <v>53457</v>
      </c>
      <c r="AK15" s="158">
        <f t="shared" si="15"/>
        <v>19306</v>
      </c>
      <c r="AL15" s="158">
        <f t="shared" si="15"/>
        <v>20329</v>
      </c>
      <c r="AM15" s="158">
        <f t="shared" si="15"/>
        <v>24856</v>
      </c>
      <c r="AN15" s="158">
        <f t="shared" si="15"/>
        <v>56184</v>
      </c>
      <c r="AO15" s="158">
        <f t="shared" si="15"/>
        <v>26899</v>
      </c>
      <c r="AP15" s="158">
        <f t="shared" si="15"/>
        <v>16141</v>
      </c>
      <c r="AQ15" s="158">
        <f t="shared" si="15"/>
        <v>48702</v>
      </c>
      <c r="AR15" s="158">
        <f t="shared" si="15"/>
        <v>0</v>
      </c>
      <c r="AS15" s="158">
        <f t="shared" si="15"/>
        <v>0</v>
      </c>
    </row>
    <row r="16" spans="1:45" ht="15.75">
      <c r="A16" s="76" t="s">
        <v>22</v>
      </c>
      <c r="B16" s="147" t="s">
        <v>894</v>
      </c>
      <c r="C16" s="158" t="e">
        <f>+D16+E16</f>
        <v>#REF!</v>
      </c>
      <c r="D16" s="158" t="e">
        <f>+'49-CK NSNN'!#REF!</f>
        <v>#REF!</v>
      </c>
      <c r="E16" s="158" t="e">
        <f>+'49-CK NSNN'!#REF!</f>
        <v>#REF!</v>
      </c>
      <c r="F16" s="158">
        <f>+G16+H16</f>
        <v>829840</v>
      </c>
      <c r="G16" s="158">
        <v>584055</v>
      </c>
      <c r="H16" s="158">
        <f>AB16</f>
        <v>245785</v>
      </c>
      <c r="I16" s="173" t="e">
        <f t="shared" si="7"/>
        <v>#REF!</v>
      </c>
      <c r="J16" s="173" t="e">
        <f t="shared" si="8"/>
        <v>#REF!</v>
      </c>
      <c r="K16" s="173" t="e">
        <f t="shared" si="9"/>
        <v>#REF!</v>
      </c>
      <c r="M16" s="158">
        <f>'[10]17-ChiNSDP2018'!J17</f>
        <v>27623</v>
      </c>
      <c r="N16" s="158">
        <f>'[11]17-ChiNSDP2018'!J17</f>
        <v>17133</v>
      </c>
      <c r="O16" s="158">
        <f>'[12]17-ChiNSDP2018'!J17</f>
        <v>32052</v>
      </c>
      <c r="P16" s="158">
        <f>'[3]17-ChiNSDP2018'!J17</f>
        <v>12005</v>
      </c>
      <c r="Q16" s="158">
        <f>'[5]17-ChiNSDP2018'!J17</f>
        <v>31819</v>
      </c>
      <c r="R16" s="158">
        <f>'[8]17-ChiNSDP2018'!J17</f>
        <v>12005</v>
      </c>
      <c r="S16" s="158">
        <f>'[13]17-ChiNSDP2018'!J17</f>
        <v>18532</v>
      </c>
      <c r="T16" s="158">
        <f>'[14]17-ChiNSDP2018'!J17</f>
        <v>10606</v>
      </c>
      <c r="U16" s="158">
        <f>'[7]17-ChiNSDP2018'!J17</f>
        <v>12329</v>
      </c>
      <c r="V16" s="158">
        <f>'[15]17-ChiNSDP2018'!J17</f>
        <v>13456</v>
      </c>
      <c r="W16" s="158">
        <f>'[16]17-ChiNSDP2018'!J17</f>
        <v>10684</v>
      </c>
      <c r="X16" s="158">
        <f>'[9]17-ChiNSDP2018'!J17</f>
        <v>12899</v>
      </c>
      <c r="Y16" s="158">
        <f>'[4]17-ChiNSDP2018'!J17</f>
        <v>8741</v>
      </c>
      <c r="Z16" s="158">
        <f>'[6]17-ChiNSDP2018'!J17</f>
        <v>16020</v>
      </c>
      <c r="AA16" s="158">
        <f>'[17]17-ChiNSDP2018'!J17</f>
        <v>9881</v>
      </c>
      <c r="AB16" s="158">
        <f>SUM(M16:AA16)</f>
        <v>245785</v>
      </c>
      <c r="AC16" s="226">
        <f t="shared" si="5"/>
        <v>0</v>
      </c>
      <c r="AD16" s="158">
        <v>27623</v>
      </c>
      <c r="AE16" s="158"/>
      <c r="AF16" s="158">
        <v>32052</v>
      </c>
      <c r="AG16" s="158">
        <v>12005</v>
      </c>
      <c r="AH16" s="158"/>
      <c r="AI16" s="158"/>
      <c r="AJ16" s="158">
        <v>12857</v>
      </c>
      <c r="AK16" s="158">
        <v>10606</v>
      </c>
      <c r="AL16" s="158">
        <v>12329</v>
      </c>
      <c r="AM16" s="158">
        <v>13456</v>
      </c>
      <c r="AN16" s="158">
        <v>10684</v>
      </c>
      <c r="AO16" s="158">
        <v>12899</v>
      </c>
      <c r="AP16" s="158"/>
      <c r="AQ16" s="158">
        <v>16020</v>
      </c>
      <c r="AR16" s="158"/>
      <c r="AS16" s="158"/>
    </row>
    <row r="17" spans="1:45" ht="15.75">
      <c r="A17" s="76" t="s">
        <v>22</v>
      </c>
      <c r="B17" s="77" t="s">
        <v>392</v>
      </c>
      <c r="C17" s="158" t="e">
        <f t="shared" si="3"/>
        <v>#REF!</v>
      </c>
      <c r="D17" s="158" t="e">
        <f>+'49-CK NSNN'!#REF!</f>
        <v>#REF!</v>
      </c>
      <c r="E17" s="158" t="e">
        <f>+'49-CK NSNN'!#REF!</f>
        <v>#REF!</v>
      </c>
      <c r="F17" s="158">
        <f t="shared" ref="F17:F83" si="16">+G17+H17</f>
        <v>580654.5</v>
      </c>
      <c r="G17" s="158">
        <v>18500</v>
      </c>
      <c r="H17" s="158">
        <f>AB17</f>
        <v>562154.5</v>
      </c>
      <c r="I17" s="173" t="e">
        <f t="shared" si="7"/>
        <v>#REF!</v>
      </c>
      <c r="J17" s="173" t="e">
        <f t="shared" si="8"/>
        <v>#REF!</v>
      </c>
      <c r="K17" s="173" t="e">
        <f t="shared" si="9"/>
        <v>#REF!</v>
      </c>
      <c r="M17" s="158">
        <f>'[10]17-ChiNSDP2018'!J18</f>
        <v>71000</v>
      </c>
      <c r="N17" s="158">
        <f>'[11]17-ChiNSDP2018'!J18</f>
        <v>72404.5</v>
      </c>
      <c r="O17" s="158">
        <f>'[12]17-ChiNSDP2018'!J18</f>
        <v>56000</v>
      </c>
      <c r="P17" s="158">
        <f>'[3]17-ChiNSDP2018'!J18</f>
        <v>12750</v>
      </c>
      <c r="Q17" s="158">
        <f>'[5]17-ChiNSDP2018'!J18</f>
        <v>180500</v>
      </c>
      <c r="R17" s="158">
        <f>'[8]17-ChiNSDP2018'!J18</f>
        <v>10250</v>
      </c>
      <c r="S17" s="158">
        <f>'[13]17-ChiNSDP2018'!J18</f>
        <v>56000</v>
      </c>
      <c r="T17" s="158">
        <f>'[14]17-ChiNSDP2018'!J18</f>
        <v>10500</v>
      </c>
      <c r="U17" s="158">
        <f>'[7]17-ChiNSDP2018'!J18</f>
        <v>14000</v>
      </c>
      <c r="V17" s="158">
        <f>'[15]17-ChiNSDP2018'!J18</f>
        <v>9750</v>
      </c>
      <c r="W17" s="158">
        <f>'[16]17-ChiNSDP2018'!J18</f>
        <v>29500</v>
      </c>
      <c r="X17" s="158">
        <f>'[9]17-ChiNSDP2018'!J18</f>
        <v>11000</v>
      </c>
      <c r="Y17" s="158">
        <f>'[4]17-ChiNSDP2018'!J18</f>
        <v>4500</v>
      </c>
      <c r="Z17" s="158">
        <f>'[6]17-ChiNSDP2018'!J18</f>
        <v>19000</v>
      </c>
      <c r="AA17" s="158">
        <f>'[17]17-ChiNSDP2018'!J18</f>
        <v>5000</v>
      </c>
      <c r="AB17" s="158">
        <f t="shared" ref="AB17:AB25" si="17">SUM(M17:AA17)</f>
        <v>562154.5</v>
      </c>
      <c r="AC17" s="226">
        <f t="shared" si="5"/>
        <v>0</v>
      </c>
      <c r="AD17" s="158">
        <v>32000</v>
      </c>
      <c r="AE17" s="158">
        <v>20000</v>
      </c>
      <c r="AF17" s="158">
        <v>36300</v>
      </c>
      <c r="AG17" s="158">
        <v>5000</v>
      </c>
      <c r="AH17" s="158"/>
      <c r="AI17" s="158"/>
      <c r="AJ17" s="158">
        <v>25969</v>
      </c>
      <c r="AK17" s="158">
        <v>8700</v>
      </c>
      <c r="AL17" s="158">
        <v>8000</v>
      </c>
      <c r="AM17" s="158">
        <v>11300</v>
      </c>
      <c r="AN17" s="158">
        <v>45500</v>
      </c>
      <c r="AO17" s="158">
        <v>12000</v>
      </c>
      <c r="AP17" s="158"/>
      <c r="AQ17" s="158">
        <v>2996</v>
      </c>
      <c r="AR17" s="158"/>
      <c r="AS17" s="158"/>
    </row>
    <row r="18" spans="1:45" ht="15.75">
      <c r="A18" s="76" t="s">
        <v>22</v>
      </c>
      <c r="B18" s="77" t="s">
        <v>499</v>
      </c>
      <c r="C18" s="158" t="e">
        <f t="shared" si="3"/>
        <v>#REF!</v>
      </c>
      <c r="D18" s="158" t="e">
        <f>+'49-CK NSNN'!#REF!</f>
        <v>#REF!</v>
      </c>
      <c r="E18" s="158" t="e">
        <f>+'49-CK NSNN'!#REF!</f>
        <v>#REF!</v>
      </c>
      <c r="F18" s="158">
        <f t="shared" si="16"/>
        <v>1120000</v>
      </c>
      <c r="G18" s="158">
        <v>1020000</v>
      </c>
      <c r="H18" s="158">
        <f>AB18</f>
        <v>100000</v>
      </c>
      <c r="I18" s="173" t="e">
        <f t="shared" si="7"/>
        <v>#REF!</v>
      </c>
      <c r="J18" s="173" t="e">
        <f t="shared" si="8"/>
        <v>#REF!</v>
      </c>
      <c r="K18" s="173" t="e">
        <f t="shared" si="9"/>
        <v>#REF!</v>
      </c>
      <c r="M18" s="158">
        <f>'[10]17-ChiNSDP2018'!J19</f>
        <v>5400</v>
      </c>
      <c r="N18" s="158">
        <f>'[11]17-ChiNSDP2018'!J19</f>
        <v>7430</v>
      </c>
      <c r="O18" s="158">
        <f>'[12]17-ChiNSDP2018'!J19</f>
        <v>2630</v>
      </c>
      <c r="P18" s="158">
        <f>'[3]17-ChiNSDP2018'!J19</f>
        <v>9390</v>
      </c>
      <c r="Q18" s="158">
        <f>'[5]17-ChiNSDP2018'!J19</f>
        <v>7930</v>
      </c>
      <c r="R18" s="158">
        <f>'[8]17-ChiNSDP2018'!J19</f>
        <v>7860</v>
      </c>
      <c r="S18" s="158">
        <f>'[13]17-ChiNSDP2018'!J19</f>
        <v>7130</v>
      </c>
      <c r="T18" s="158">
        <f>'[14]17-ChiNSDP2018'!J19</f>
        <v>6160</v>
      </c>
      <c r="U18" s="158">
        <f>'[7]17-ChiNSDP2018'!J19</f>
        <v>7770</v>
      </c>
      <c r="V18" s="158">
        <f>'[15]17-ChiNSDP2018'!J19</f>
        <v>5330</v>
      </c>
      <c r="W18" s="158">
        <f>'[16]17-ChiNSDP2018'!J19</f>
        <v>1800</v>
      </c>
      <c r="X18" s="158">
        <f>'[9]17-ChiNSDP2018'!J19</f>
        <v>6330</v>
      </c>
      <c r="Y18" s="158">
        <f>'[4]17-ChiNSDP2018'!J19</f>
        <v>7160</v>
      </c>
      <c r="Z18" s="158">
        <f>'[6]17-ChiNSDP2018'!J19</f>
        <v>9590</v>
      </c>
      <c r="AA18" s="158">
        <f>'[17]17-ChiNSDP2018'!J19</f>
        <v>8090</v>
      </c>
      <c r="AB18" s="158">
        <f t="shared" si="17"/>
        <v>100000</v>
      </c>
      <c r="AC18" s="226">
        <f t="shared" si="5"/>
        <v>0</v>
      </c>
      <c r="AD18" s="158">
        <v>5400</v>
      </c>
      <c r="AE18" s="158"/>
      <c r="AF18" s="158">
        <v>2630</v>
      </c>
      <c r="AG18" s="158">
        <v>9390</v>
      </c>
      <c r="AH18" s="158"/>
      <c r="AI18" s="158"/>
      <c r="AJ18" s="158"/>
      <c r="AK18" s="158"/>
      <c r="AL18" s="158"/>
      <c r="AM18" s="158"/>
      <c r="AN18" s="158"/>
      <c r="AO18" s="158"/>
      <c r="AP18" s="158"/>
      <c r="AQ18" s="158"/>
      <c r="AR18" s="158"/>
      <c r="AS18" s="158"/>
    </row>
    <row r="19" spans="1:45" ht="15.75">
      <c r="A19" s="76" t="s">
        <v>22</v>
      </c>
      <c r="B19" s="147" t="s">
        <v>911</v>
      </c>
      <c r="C19" s="158" t="e">
        <f t="shared" si="3"/>
        <v>#REF!</v>
      </c>
      <c r="D19" s="158" t="e">
        <f>+'49-CK NSNN'!#REF!</f>
        <v>#REF!</v>
      </c>
      <c r="E19" s="158" t="e">
        <f>+'49-CK NSNN'!#REF!</f>
        <v>#REF!</v>
      </c>
      <c r="F19" s="158">
        <f t="shared" si="16"/>
        <v>458116.08129999996</v>
      </c>
      <c r="G19" s="158">
        <f>'23-DG chi NST theoLV'!P13</f>
        <v>442662.08799999999</v>
      </c>
      <c r="H19" s="158">
        <f>AB19</f>
        <v>15453.9933</v>
      </c>
      <c r="I19" s="173"/>
      <c r="J19" s="173"/>
      <c r="K19" s="173"/>
      <c r="M19" s="158">
        <f>'[10]17-ChiNSDP2018'!J20</f>
        <v>0</v>
      </c>
      <c r="N19" s="158">
        <f>'[11]17-ChiNSDP2018'!J20</f>
        <v>0</v>
      </c>
      <c r="O19" s="158">
        <f>'[12]17-ChiNSDP2018'!J20</f>
        <v>0</v>
      </c>
      <c r="P19" s="158">
        <f>'[3]17-ChiNSDP2018'!J20</f>
        <v>0</v>
      </c>
      <c r="Q19" s="158">
        <f>'[5]17-ChiNSDP2018'!J20</f>
        <v>0</v>
      </c>
      <c r="R19" s="158">
        <f>'[8]17-ChiNSDP2018'!J20</f>
        <v>0</v>
      </c>
      <c r="S19" s="158">
        <f>'[13]17-ChiNSDP2018'!J20</f>
        <v>10839.3933</v>
      </c>
      <c r="T19" s="158">
        <f>'[14]17-ChiNSDP2018'!J20</f>
        <v>0</v>
      </c>
      <c r="U19" s="158">
        <f>'[7]17-ChiNSDP2018'!J20</f>
        <v>0</v>
      </c>
      <c r="V19" s="158">
        <f>'[15]17-ChiNSDP2018'!J20</f>
        <v>2316.6</v>
      </c>
      <c r="W19" s="158">
        <f>'[16]17-ChiNSDP2018'!J20</f>
        <v>0</v>
      </c>
      <c r="X19" s="158">
        <f>'[9]17-ChiNSDP2018'!J20</f>
        <v>0</v>
      </c>
      <c r="Y19" s="158">
        <f>'[4]17-ChiNSDP2018'!J20</f>
        <v>0</v>
      </c>
      <c r="Z19" s="158">
        <f>'[6]17-ChiNSDP2018'!J20</f>
        <v>2298</v>
      </c>
      <c r="AA19" s="158">
        <f>'[17]17-ChiNSDP2018'!J20</f>
        <v>0</v>
      </c>
      <c r="AB19" s="158">
        <f t="shared" si="17"/>
        <v>15453.9933</v>
      </c>
      <c r="AC19" s="226">
        <f t="shared" si="5"/>
        <v>0</v>
      </c>
      <c r="AD19" s="158">
        <f>SUM(AD20:AD23)</f>
        <v>17022</v>
      </c>
      <c r="AE19" s="158">
        <f t="shared" ref="AE19:AS19" si="18">SUM(AE20:AE23)</f>
        <v>0</v>
      </c>
      <c r="AF19" s="158">
        <f t="shared" si="18"/>
        <v>0</v>
      </c>
      <c r="AG19" s="158">
        <f t="shared" si="18"/>
        <v>5200</v>
      </c>
      <c r="AH19" s="158">
        <f t="shared" si="18"/>
        <v>0</v>
      </c>
      <c r="AI19" s="158">
        <f t="shared" si="18"/>
        <v>0</v>
      </c>
      <c r="AJ19" s="158">
        <f t="shared" si="18"/>
        <v>14631</v>
      </c>
      <c r="AK19" s="158">
        <f t="shared" si="18"/>
        <v>0</v>
      </c>
      <c r="AL19" s="158">
        <f t="shared" si="18"/>
        <v>0</v>
      </c>
      <c r="AM19" s="158">
        <f t="shared" si="18"/>
        <v>100</v>
      </c>
      <c r="AN19" s="158">
        <f t="shared" si="18"/>
        <v>0</v>
      </c>
      <c r="AO19" s="158">
        <f t="shared" si="18"/>
        <v>2000</v>
      </c>
      <c r="AP19" s="158">
        <f t="shared" si="18"/>
        <v>16141</v>
      </c>
      <c r="AQ19" s="158">
        <f t="shared" si="18"/>
        <v>29686</v>
      </c>
      <c r="AR19" s="158">
        <f t="shared" si="18"/>
        <v>0</v>
      </c>
      <c r="AS19" s="158">
        <f t="shared" si="18"/>
        <v>0</v>
      </c>
    </row>
    <row r="20" spans="1:45" ht="15.75" hidden="1">
      <c r="A20" s="76"/>
      <c r="B20" s="147" t="s">
        <v>912</v>
      </c>
      <c r="C20" s="158">
        <f t="shared" si="3"/>
        <v>0</v>
      </c>
      <c r="D20" s="158"/>
      <c r="E20" s="158"/>
      <c r="F20" s="158">
        <f t="shared" si="16"/>
        <v>0</v>
      </c>
      <c r="G20" s="158"/>
      <c r="H20" s="158"/>
      <c r="I20" s="173"/>
      <c r="J20" s="173"/>
      <c r="K20" s="173"/>
      <c r="M20" s="158"/>
      <c r="N20" s="158"/>
      <c r="O20" s="158"/>
      <c r="P20" s="158"/>
      <c r="Q20" s="158"/>
      <c r="R20" s="158"/>
      <c r="S20" s="158"/>
      <c r="T20" s="158"/>
      <c r="U20" s="158"/>
      <c r="V20" s="158"/>
      <c r="W20" s="158"/>
      <c r="X20" s="158"/>
      <c r="Y20" s="158"/>
      <c r="Z20" s="158"/>
      <c r="AA20" s="158"/>
      <c r="AB20" s="158">
        <f t="shared" si="17"/>
        <v>0</v>
      </c>
      <c r="AC20" s="226">
        <f t="shared" si="5"/>
        <v>0</v>
      </c>
      <c r="AD20" s="158"/>
      <c r="AE20" s="158"/>
      <c r="AF20" s="158"/>
      <c r="AG20" s="158"/>
      <c r="AH20" s="158"/>
      <c r="AI20" s="158"/>
      <c r="AJ20" s="158"/>
      <c r="AK20" s="158"/>
      <c r="AL20" s="158"/>
      <c r="AM20" s="158"/>
      <c r="AN20" s="158"/>
      <c r="AO20" s="158"/>
      <c r="AP20" s="158"/>
      <c r="AQ20" s="158">
        <v>8718</v>
      </c>
      <c r="AR20" s="158"/>
      <c r="AS20" s="158"/>
    </row>
    <row r="21" spans="1:45" ht="15.75" hidden="1">
      <c r="A21" s="76"/>
      <c r="B21" s="147" t="s">
        <v>913</v>
      </c>
      <c r="C21" s="158">
        <f t="shared" si="3"/>
        <v>0</v>
      </c>
      <c r="D21" s="158"/>
      <c r="E21" s="158"/>
      <c r="F21" s="158">
        <f t="shared" si="16"/>
        <v>0</v>
      </c>
      <c r="G21" s="158"/>
      <c r="H21" s="158"/>
      <c r="I21" s="173"/>
      <c r="J21" s="173"/>
      <c r="K21" s="173"/>
      <c r="M21" s="158"/>
      <c r="N21" s="158"/>
      <c r="O21" s="158"/>
      <c r="P21" s="158"/>
      <c r="Q21" s="158"/>
      <c r="R21" s="158"/>
      <c r="S21" s="158"/>
      <c r="T21" s="158"/>
      <c r="U21" s="158"/>
      <c r="V21" s="158"/>
      <c r="W21" s="158"/>
      <c r="X21" s="158"/>
      <c r="Y21" s="158"/>
      <c r="Z21" s="158"/>
      <c r="AA21" s="158"/>
      <c r="AB21" s="158">
        <f t="shared" si="17"/>
        <v>0</v>
      </c>
      <c r="AC21" s="226">
        <f t="shared" si="5"/>
        <v>0</v>
      </c>
      <c r="AD21" s="158"/>
      <c r="AE21" s="158"/>
      <c r="AF21" s="158"/>
      <c r="AG21" s="158"/>
      <c r="AH21" s="158"/>
      <c r="AI21" s="158"/>
      <c r="AJ21" s="158"/>
      <c r="AK21" s="158"/>
      <c r="AL21" s="158"/>
      <c r="AM21" s="158"/>
      <c r="AN21" s="158"/>
      <c r="AO21" s="158"/>
      <c r="AP21" s="158"/>
      <c r="AQ21" s="158"/>
      <c r="AR21" s="158"/>
      <c r="AS21" s="158"/>
    </row>
    <row r="22" spans="1:45" ht="15.75" hidden="1">
      <c r="A22" s="76"/>
      <c r="B22" s="147" t="s">
        <v>914</v>
      </c>
      <c r="C22" s="158">
        <f t="shared" si="3"/>
        <v>0</v>
      </c>
      <c r="D22" s="158"/>
      <c r="E22" s="158"/>
      <c r="F22" s="158">
        <f t="shared" si="16"/>
        <v>0</v>
      </c>
      <c r="G22" s="158"/>
      <c r="H22" s="158"/>
      <c r="I22" s="173"/>
      <c r="J22" s="173"/>
      <c r="K22" s="173"/>
      <c r="M22" s="158"/>
      <c r="N22" s="158"/>
      <c r="O22" s="158"/>
      <c r="P22" s="158"/>
      <c r="Q22" s="158"/>
      <c r="R22" s="158"/>
      <c r="S22" s="158"/>
      <c r="T22" s="158"/>
      <c r="U22" s="158"/>
      <c r="V22" s="158"/>
      <c r="W22" s="158"/>
      <c r="X22" s="158"/>
      <c r="Y22" s="158"/>
      <c r="Z22" s="158"/>
      <c r="AA22" s="158"/>
      <c r="AB22" s="158">
        <f t="shared" si="17"/>
        <v>0</v>
      </c>
      <c r="AC22" s="226">
        <f t="shared" si="5"/>
        <v>0</v>
      </c>
      <c r="AD22" s="158"/>
      <c r="AE22" s="158"/>
      <c r="AF22" s="158"/>
      <c r="AG22" s="158"/>
      <c r="AH22" s="158"/>
      <c r="AI22" s="158"/>
      <c r="AJ22" s="158">
        <v>14631</v>
      </c>
      <c r="AK22" s="158"/>
      <c r="AL22" s="158"/>
      <c r="AM22" s="158">
        <v>100</v>
      </c>
      <c r="AN22" s="158"/>
      <c r="AO22" s="158">
        <v>2000</v>
      </c>
      <c r="AP22" s="158">
        <v>16141</v>
      </c>
      <c r="AQ22" s="158">
        <v>20968</v>
      </c>
      <c r="AR22" s="158"/>
      <c r="AS22" s="158"/>
    </row>
    <row r="23" spans="1:45" ht="30" hidden="1">
      <c r="A23" s="76"/>
      <c r="B23" s="147" t="s">
        <v>1084</v>
      </c>
      <c r="C23" s="158"/>
      <c r="D23" s="158"/>
      <c r="E23" s="158"/>
      <c r="F23" s="158"/>
      <c r="G23" s="158"/>
      <c r="H23" s="158"/>
      <c r="I23" s="173"/>
      <c r="J23" s="173"/>
      <c r="K23" s="173"/>
      <c r="M23" s="158"/>
      <c r="N23" s="158"/>
      <c r="O23" s="158"/>
      <c r="P23" s="158"/>
      <c r="Q23" s="158"/>
      <c r="R23" s="158"/>
      <c r="S23" s="158"/>
      <c r="T23" s="158"/>
      <c r="U23" s="158"/>
      <c r="V23" s="158"/>
      <c r="W23" s="158"/>
      <c r="X23" s="158"/>
      <c r="Y23" s="158"/>
      <c r="Z23" s="158"/>
      <c r="AA23" s="158"/>
      <c r="AB23" s="158">
        <f t="shared" si="17"/>
        <v>0</v>
      </c>
      <c r="AC23" s="226">
        <f t="shared" si="5"/>
        <v>0</v>
      </c>
      <c r="AD23" s="158">
        <f>14800+2222</f>
        <v>17022</v>
      </c>
      <c r="AE23" s="158"/>
      <c r="AF23" s="158"/>
      <c r="AG23" s="158">
        <v>5200</v>
      </c>
      <c r="AH23" s="158"/>
      <c r="AI23" s="158"/>
      <c r="AJ23" s="158"/>
      <c r="AK23" s="158"/>
      <c r="AL23" s="158"/>
      <c r="AM23" s="158"/>
      <c r="AN23" s="158"/>
      <c r="AO23" s="158"/>
      <c r="AP23" s="158"/>
      <c r="AQ23" s="158"/>
      <c r="AR23" s="158"/>
      <c r="AS23" s="158"/>
    </row>
    <row r="24" spans="1:45" ht="15.75" hidden="1">
      <c r="A24" s="76"/>
      <c r="B24" s="147"/>
      <c r="C24" s="158"/>
      <c r="D24" s="158"/>
      <c r="E24" s="158"/>
      <c r="F24" s="158"/>
      <c r="G24" s="158"/>
      <c r="H24" s="158"/>
      <c r="I24" s="169"/>
      <c r="J24" s="169"/>
      <c r="K24" s="169"/>
      <c r="M24" s="158"/>
      <c r="N24" s="158"/>
      <c r="O24" s="158"/>
      <c r="P24" s="158"/>
      <c r="Q24" s="158"/>
      <c r="R24" s="158"/>
      <c r="S24" s="158"/>
      <c r="T24" s="158"/>
      <c r="U24" s="158"/>
      <c r="V24" s="158"/>
      <c r="W24" s="158"/>
      <c r="X24" s="158"/>
      <c r="Y24" s="158"/>
      <c r="Z24" s="158"/>
      <c r="AA24" s="158"/>
      <c r="AB24" s="158">
        <f t="shared" si="17"/>
        <v>0</v>
      </c>
      <c r="AC24" s="226">
        <f t="shared" si="5"/>
        <v>0</v>
      </c>
      <c r="AD24" s="158"/>
      <c r="AE24" s="158"/>
      <c r="AF24" s="158"/>
      <c r="AG24" s="158"/>
      <c r="AH24" s="158"/>
      <c r="AI24" s="158"/>
      <c r="AJ24" s="158"/>
      <c r="AK24" s="158"/>
      <c r="AL24" s="158"/>
      <c r="AM24" s="158"/>
      <c r="AN24" s="158"/>
      <c r="AO24" s="158"/>
      <c r="AP24" s="158"/>
      <c r="AQ24" s="158"/>
      <c r="AR24" s="158"/>
      <c r="AS24" s="158"/>
    </row>
    <row r="25" spans="1:45" ht="78.75">
      <c r="A25" s="76">
        <v>2</v>
      </c>
      <c r="B25" s="77" t="s">
        <v>394</v>
      </c>
      <c r="C25" s="158">
        <f t="shared" si="3"/>
        <v>0</v>
      </c>
      <c r="D25" s="158"/>
      <c r="E25" s="158"/>
      <c r="F25" s="158">
        <f t="shared" si="16"/>
        <v>0</v>
      </c>
      <c r="G25" s="158"/>
      <c r="H25" s="158"/>
      <c r="I25" s="169"/>
      <c r="J25" s="169"/>
      <c r="K25" s="169"/>
      <c r="M25" s="158">
        <f>'[10]17-ChiNSDP2018'!$J$24</f>
        <v>0</v>
      </c>
      <c r="N25" s="158">
        <f>'[11]17-ChiNSDP2018'!$J$24</f>
        <v>0</v>
      </c>
      <c r="O25" s="158"/>
      <c r="P25" s="158"/>
      <c r="Q25" s="158"/>
      <c r="R25" s="158"/>
      <c r="S25" s="158"/>
      <c r="T25" s="158"/>
      <c r="U25" s="158"/>
      <c r="V25" s="158"/>
      <c r="W25" s="158"/>
      <c r="X25" s="158"/>
      <c r="Y25" s="158"/>
      <c r="Z25" s="158"/>
      <c r="AA25" s="158"/>
      <c r="AB25" s="158">
        <f t="shared" si="17"/>
        <v>0</v>
      </c>
      <c r="AC25" s="226">
        <f t="shared" si="5"/>
        <v>0</v>
      </c>
      <c r="AD25" s="158"/>
      <c r="AE25" s="158"/>
      <c r="AF25" s="158"/>
      <c r="AG25" s="158"/>
      <c r="AH25" s="158"/>
      <c r="AI25" s="158"/>
      <c r="AJ25" s="158"/>
      <c r="AK25" s="158"/>
      <c r="AL25" s="158"/>
      <c r="AM25" s="158"/>
      <c r="AN25" s="158"/>
      <c r="AO25" s="158"/>
      <c r="AP25" s="158"/>
      <c r="AQ25" s="158"/>
      <c r="AR25" s="158"/>
      <c r="AS25" s="158"/>
    </row>
    <row r="26" spans="1:45" ht="15.75">
      <c r="A26" s="76">
        <v>3</v>
      </c>
      <c r="B26" s="77" t="s">
        <v>395</v>
      </c>
      <c r="C26" s="158">
        <f t="shared" si="3"/>
        <v>0</v>
      </c>
      <c r="D26" s="158"/>
      <c r="E26" s="158"/>
      <c r="F26" s="158">
        <f t="shared" si="16"/>
        <v>0</v>
      </c>
      <c r="G26" s="158"/>
      <c r="H26" s="158"/>
      <c r="I26" s="169"/>
      <c r="J26" s="169"/>
      <c r="K26" s="169"/>
      <c r="M26" s="158">
        <f>'[10]17-ChiNSDP2018'!$J$25</f>
        <v>0</v>
      </c>
      <c r="N26" s="158"/>
      <c r="O26" s="158"/>
      <c r="P26" s="158"/>
      <c r="Q26" s="158"/>
      <c r="R26" s="158"/>
      <c r="S26" s="158"/>
      <c r="T26" s="158"/>
      <c r="U26" s="158"/>
      <c r="V26" s="158"/>
      <c r="W26" s="158"/>
      <c r="X26" s="158"/>
      <c r="Y26" s="158"/>
      <c r="Z26" s="158"/>
      <c r="AA26" s="158"/>
      <c r="AB26" s="158"/>
      <c r="AC26" s="226">
        <f t="shared" si="5"/>
        <v>0</v>
      </c>
      <c r="AD26" s="158"/>
      <c r="AE26" s="158"/>
      <c r="AF26" s="158"/>
      <c r="AG26" s="158"/>
      <c r="AH26" s="158"/>
      <c r="AI26" s="158"/>
      <c r="AJ26" s="158"/>
      <c r="AK26" s="158"/>
      <c r="AL26" s="158"/>
      <c r="AM26" s="158"/>
      <c r="AN26" s="158"/>
      <c r="AO26" s="158"/>
      <c r="AP26" s="158"/>
      <c r="AQ26" s="158"/>
      <c r="AR26" s="158"/>
      <c r="AS26" s="158"/>
    </row>
    <row r="27" spans="1:45" ht="15.75">
      <c r="A27" s="74" t="s">
        <v>70</v>
      </c>
      <c r="B27" s="313" t="s">
        <v>96</v>
      </c>
      <c r="C27" s="156" t="e">
        <f t="shared" ref="C27:H27" si="19">+C29+C32+C33+C36+C37+C38+C39+C40+C41+C42+C43+C44</f>
        <v>#REF!</v>
      </c>
      <c r="D27" s="156" t="e">
        <f t="shared" si="19"/>
        <v>#REF!</v>
      </c>
      <c r="E27" s="156" t="e">
        <f t="shared" si="19"/>
        <v>#REF!</v>
      </c>
      <c r="F27" s="156">
        <f t="shared" si="19"/>
        <v>6955083.6059623342</v>
      </c>
      <c r="G27" s="156">
        <f t="shared" si="19"/>
        <v>2497166.8699569996</v>
      </c>
      <c r="H27" s="156">
        <f t="shared" si="19"/>
        <v>4457916.7360053333</v>
      </c>
      <c r="I27" s="169" t="e">
        <f t="shared" si="7"/>
        <v>#REF!</v>
      </c>
      <c r="J27" s="169" t="e">
        <f t="shared" si="8"/>
        <v>#REF!</v>
      </c>
      <c r="K27" s="169" t="e">
        <f t="shared" si="9"/>
        <v>#REF!</v>
      </c>
      <c r="M27" s="156">
        <f t="shared" ref="M27" si="20">+M29+M32+M33+M36+M37+M38+M39+M40+M41+M42+M43+M44</f>
        <v>369794.21822699998</v>
      </c>
      <c r="N27" s="320">
        <f t="shared" ref="N27:AB27" si="21">+N29+N32+N33+N36+N37+N38+N39+N40+N41+N42+N43+N44</f>
        <v>385186.44080000004</v>
      </c>
      <c r="O27" s="156">
        <f t="shared" si="21"/>
        <v>365191.32</v>
      </c>
      <c r="P27" s="156">
        <f t="shared" si="21"/>
        <v>280160.75400000002</v>
      </c>
      <c r="Q27" s="156">
        <f t="shared" si="21"/>
        <v>528155.88910300005</v>
      </c>
      <c r="R27" s="156">
        <f t="shared" si="21"/>
        <v>281849.33333333331</v>
      </c>
      <c r="S27" s="156">
        <f t="shared" si="21"/>
        <v>412974.70945166674</v>
      </c>
      <c r="T27" s="156">
        <f t="shared" si="21"/>
        <v>307972.59042299999</v>
      </c>
      <c r="U27" s="156">
        <f t="shared" si="21"/>
        <v>243508</v>
      </c>
      <c r="V27" s="156">
        <f t="shared" si="21"/>
        <v>254848.58333333334</v>
      </c>
      <c r="W27" s="156">
        <f t="shared" si="21"/>
        <v>218206.85799999998</v>
      </c>
      <c r="X27" s="156">
        <f t="shared" si="21"/>
        <v>239922.07333400002</v>
      </c>
      <c r="Y27" s="156">
        <f t="shared" si="21"/>
        <v>225146.94400000002</v>
      </c>
      <c r="Z27" s="156">
        <f t="shared" si="21"/>
        <v>266238.30799999996</v>
      </c>
      <c r="AA27" s="156">
        <f t="shared" si="21"/>
        <v>151727.71400000001</v>
      </c>
      <c r="AB27" s="156">
        <f t="shared" si="21"/>
        <v>4530883.7360053333</v>
      </c>
      <c r="AC27" s="226">
        <f t="shared" si="5"/>
        <v>72967</v>
      </c>
      <c r="AD27" s="156">
        <f t="shared" ref="AD27:AS27" si="22">+AD29+AD32+AD33+AD36+AD37+AD38+AD39+AD40+AD41+AD42+AD43+AD44</f>
        <v>393820</v>
      </c>
      <c r="AE27" s="156">
        <f t="shared" si="22"/>
        <v>406923</v>
      </c>
      <c r="AF27" s="156">
        <f t="shared" si="22"/>
        <v>380075</v>
      </c>
      <c r="AG27" s="156">
        <f t="shared" si="22"/>
        <v>285792.06800000003</v>
      </c>
      <c r="AH27" s="156">
        <f t="shared" si="22"/>
        <v>0</v>
      </c>
      <c r="AI27" s="156">
        <f t="shared" si="22"/>
        <v>0</v>
      </c>
      <c r="AJ27" s="156">
        <f t="shared" si="22"/>
        <v>425526</v>
      </c>
      <c r="AK27" s="156">
        <f t="shared" si="22"/>
        <v>307107</v>
      </c>
      <c r="AL27" s="156">
        <f t="shared" si="22"/>
        <v>235731</v>
      </c>
      <c r="AM27" s="156">
        <f t="shared" si="22"/>
        <v>312288</v>
      </c>
      <c r="AN27" s="156">
        <f t="shared" si="22"/>
        <v>248980</v>
      </c>
      <c r="AO27" s="156">
        <f t="shared" si="22"/>
        <v>238891</v>
      </c>
      <c r="AP27" s="156">
        <f t="shared" si="22"/>
        <v>229636</v>
      </c>
      <c r="AQ27" s="156">
        <f t="shared" si="22"/>
        <v>276827</v>
      </c>
      <c r="AR27" s="156">
        <f t="shared" si="22"/>
        <v>0</v>
      </c>
      <c r="AS27" s="156">
        <f t="shared" si="22"/>
        <v>0</v>
      </c>
    </row>
    <row r="28" spans="1:45" ht="15.75">
      <c r="A28" s="76"/>
      <c r="B28" s="78" t="s">
        <v>134</v>
      </c>
      <c r="C28" s="158"/>
      <c r="D28" s="158"/>
      <c r="E28" s="158"/>
      <c r="F28" s="158">
        <f t="shared" si="16"/>
        <v>0</v>
      </c>
      <c r="G28" s="158"/>
      <c r="H28" s="158"/>
      <c r="I28" s="173"/>
      <c r="J28" s="173"/>
      <c r="K28" s="173"/>
      <c r="N28" s="241"/>
      <c r="AB28" s="158">
        <f t="shared" ref="AB28:AB83" si="23">SUM(M28:AA28)</f>
        <v>0</v>
      </c>
      <c r="AC28" s="226">
        <f t="shared" si="5"/>
        <v>0</v>
      </c>
    </row>
    <row r="29" spans="1:45" ht="15.75">
      <c r="A29" s="76">
        <v>1</v>
      </c>
      <c r="B29" s="78" t="s">
        <v>389</v>
      </c>
      <c r="C29" s="158" t="e">
        <f t="shared" si="3"/>
        <v>#REF!</v>
      </c>
      <c r="D29" s="158" t="e">
        <f>+D30+D31</f>
        <v>#REF!</v>
      </c>
      <c r="E29" s="158" t="e">
        <f>+E30+E31</f>
        <v>#REF!</v>
      </c>
      <c r="F29" s="158">
        <f>+F30+F31</f>
        <v>2689764.8416666668</v>
      </c>
      <c r="G29" s="158">
        <f>+G30+G31</f>
        <v>501206.15899999999</v>
      </c>
      <c r="H29" s="158">
        <f>+H30+H31</f>
        <v>2188558.6826666668</v>
      </c>
      <c r="I29" s="173" t="e">
        <f t="shared" si="7"/>
        <v>#REF!</v>
      </c>
      <c r="J29" s="173" t="e">
        <f t="shared" si="8"/>
        <v>#REF!</v>
      </c>
      <c r="K29" s="173" t="e">
        <f t="shared" si="9"/>
        <v>#REF!</v>
      </c>
      <c r="M29" s="196">
        <f>'[10]17-ChiNSDP2018'!J28</f>
        <v>187889.533</v>
      </c>
      <c r="N29" s="321">
        <f>'[11]17-ChiNSDP2018'!J28</f>
        <v>202819.55499999999</v>
      </c>
      <c r="O29" s="196">
        <f>+O30+O31</f>
        <v>188932</v>
      </c>
      <c r="P29" s="196">
        <f t="shared" ref="P29:AA29" si="24">+P30+P31</f>
        <v>136423</v>
      </c>
      <c r="Q29" s="196">
        <f t="shared" si="24"/>
        <v>281337.90299999999</v>
      </c>
      <c r="R29" s="241">
        <f t="shared" si="24"/>
        <v>126800.5</v>
      </c>
      <c r="S29" s="196">
        <f t="shared" si="24"/>
        <v>207245.45</v>
      </c>
      <c r="T29" s="196">
        <f t="shared" si="24"/>
        <v>168082.36300000001</v>
      </c>
      <c r="U29" s="196">
        <f t="shared" si="24"/>
        <v>110416</v>
      </c>
      <c r="V29" s="196">
        <f t="shared" si="24"/>
        <v>110737.66666666667</v>
      </c>
      <c r="W29" s="196">
        <f t="shared" si="24"/>
        <v>97977.157999999996</v>
      </c>
      <c r="X29" s="196">
        <f t="shared" si="24"/>
        <v>84549.5</v>
      </c>
      <c r="Y29" s="196">
        <f t="shared" si="24"/>
        <v>114420.5</v>
      </c>
      <c r="Z29" s="196">
        <f t="shared" si="24"/>
        <v>120673</v>
      </c>
      <c r="AA29" s="196">
        <f t="shared" si="24"/>
        <v>50254.554000000004</v>
      </c>
      <c r="AB29" s="158">
        <f t="shared" si="23"/>
        <v>2188558.6826666668</v>
      </c>
      <c r="AC29" s="226">
        <f t="shared" si="5"/>
        <v>0</v>
      </c>
      <c r="AD29" s="196">
        <v>187724</v>
      </c>
      <c r="AE29" s="196">
        <v>223000</v>
      </c>
      <c r="AF29" s="196">
        <f>+AF30+AF31</f>
        <v>192429</v>
      </c>
      <c r="AG29" s="196">
        <v>136051.522</v>
      </c>
      <c r="AJ29" s="196">
        <v>208114</v>
      </c>
      <c r="AK29" s="196">
        <v>166100</v>
      </c>
      <c r="AL29" s="196">
        <f>+AL30+AL31</f>
        <v>111158</v>
      </c>
      <c r="AM29" s="196">
        <f>+AM30+AM31</f>
        <v>108646</v>
      </c>
      <c r="AN29" s="196">
        <f>+AN30+AN31</f>
        <v>106268</v>
      </c>
      <c r="AO29" s="196">
        <f>+AO30+AO31</f>
        <v>83495</v>
      </c>
      <c r="AP29" s="196">
        <v>116126</v>
      </c>
      <c r="AQ29" s="196">
        <v>127400</v>
      </c>
    </row>
    <row r="30" spans="1:45" ht="15.75">
      <c r="A30" s="76"/>
      <c r="B30" s="147" t="s">
        <v>905</v>
      </c>
      <c r="C30" s="158" t="e">
        <f t="shared" si="3"/>
        <v>#REF!</v>
      </c>
      <c r="D30" s="158" t="e">
        <f>'49-CK NSNN'!#REF!</f>
        <v>#REF!</v>
      </c>
      <c r="E30" s="158" t="e">
        <f>'49-CK NSNN'!#REF!</f>
        <v>#REF!</v>
      </c>
      <c r="F30" s="158">
        <f t="shared" si="16"/>
        <v>2650279.541666667</v>
      </c>
      <c r="G30" s="158">
        <f>'23-DG chi NST theoLV'!E30-G31</f>
        <v>501206.15899999999</v>
      </c>
      <c r="H30" s="158">
        <f>AB30</f>
        <v>2149073.382666667</v>
      </c>
      <c r="I30" s="173" t="e">
        <f t="shared" si="7"/>
        <v>#REF!</v>
      </c>
      <c r="J30" s="173" t="e">
        <f t="shared" si="8"/>
        <v>#REF!</v>
      </c>
      <c r="K30" s="173" t="e">
        <f t="shared" si="9"/>
        <v>#REF!</v>
      </c>
      <c r="M30" s="196">
        <f>'[10]17-ChiNSDP2018'!J29</f>
        <v>184176.033</v>
      </c>
      <c r="N30" s="321">
        <f>'[11]17-ChiNSDP2018'!J29</f>
        <v>198604.55499999999</v>
      </c>
      <c r="O30" s="158">
        <f>'[12]17-ChiNSDP2018'!J29</f>
        <v>185616.5</v>
      </c>
      <c r="P30" s="196">
        <f>'[3]17-ChiNSDP2018'!J29</f>
        <v>134181.5</v>
      </c>
      <c r="Q30" s="196">
        <f>'[5]17-ChiNSDP2018'!J29</f>
        <v>275963.603</v>
      </c>
      <c r="R30" s="321">
        <f>'[8]17-ChiNSDP2018'!J29</f>
        <v>124428</v>
      </c>
      <c r="S30" s="196">
        <f>'[13]17-ChiNSDP2018'!J29</f>
        <v>203033.45</v>
      </c>
      <c r="T30" s="196">
        <f>'[14]17-ChiNSDP2018'!J29</f>
        <v>165649.86300000001</v>
      </c>
      <c r="U30" s="196">
        <f>'[7]17-ChiNSDP2018'!J29</f>
        <v>108572</v>
      </c>
      <c r="V30" s="196">
        <f>'[15]17-ChiNSDP2018'!J29</f>
        <v>109026.66666666667</v>
      </c>
      <c r="W30" s="196">
        <f>'[16]17-ChiNSDP2018'!J29</f>
        <v>96507.657999999996</v>
      </c>
      <c r="X30" s="196">
        <f>'[9]17-ChiNSDP2018'!J29</f>
        <v>82906</v>
      </c>
      <c r="Y30" s="196">
        <f>'[4]17-ChiNSDP2018'!J29</f>
        <v>112575</v>
      </c>
      <c r="Z30" s="196">
        <f>'[6]17-ChiNSDP2018'!J29</f>
        <v>118644.5</v>
      </c>
      <c r="AA30" s="196">
        <f>'[17]17-ChiNSDP2018'!J29</f>
        <v>49188.054000000004</v>
      </c>
      <c r="AB30" s="158">
        <f t="shared" si="23"/>
        <v>2149073.382666667</v>
      </c>
      <c r="AC30" s="226">
        <f t="shared" si="5"/>
        <v>0</v>
      </c>
      <c r="AF30" s="196">
        <v>188809</v>
      </c>
      <c r="AG30" s="196">
        <v>132967.302</v>
      </c>
      <c r="AL30" s="196">
        <v>109163</v>
      </c>
      <c r="AM30" s="196">
        <v>106605</v>
      </c>
      <c r="AN30" s="196">
        <v>104227</v>
      </c>
      <c r="AO30" s="196">
        <v>82000</v>
      </c>
      <c r="AQ30" s="196">
        <v>125000</v>
      </c>
    </row>
    <row r="31" spans="1:45" ht="15.75">
      <c r="A31" s="76"/>
      <c r="B31" s="147" t="s">
        <v>906</v>
      </c>
      <c r="C31" s="158" t="e">
        <f t="shared" si="3"/>
        <v>#REF!</v>
      </c>
      <c r="D31" s="158" t="e">
        <f>'49-CK NSNN'!#REF!</f>
        <v>#REF!</v>
      </c>
      <c r="E31" s="158" t="e">
        <f>'49-CK NSNN'!#REF!</f>
        <v>#REF!</v>
      </c>
      <c r="F31" s="158">
        <f t="shared" si="16"/>
        <v>39485.300000000003</v>
      </c>
      <c r="G31" s="158"/>
      <c r="H31" s="158">
        <f t="shared" ref="H31:H44" si="25">AB31</f>
        <v>39485.300000000003</v>
      </c>
      <c r="I31" s="173" t="e">
        <f t="shared" si="7"/>
        <v>#REF!</v>
      </c>
      <c r="J31" s="173" t="e">
        <f t="shared" si="8"/>
        <v>#REF!</v>
      </c>
      <c r="K31" s="173" t="e">
        <f t="shared" si="9"/>
        <v>#REF!</v>
      </c>
      <c r="M31" s="196">
        <f>'[10]17-ChiNSDP2018'!J30</f>
        <v>3713.5</v>
      </c>
      <c r="N31" s="321">
        <f>'[11]17-ChiNSDP2018'!J30</f>
        <v>4215</v>
      </c>
      <c r="O31" s="158">
        <f>'[12]17-ChiNSDP2018'!J30</f>
        <v>3315.5</v>
      </c>
      <c r="P31" s="196">
        <f>'[3]17-ChiNSDP2018'!J30</f>
        <v>2241.5</v>
      </c>
      <c r="Q31" s="196">
        <f>'[5]17-ChiNSDP2018'!J30</f>
        <v>5374.3</v>
      </c>
      <c r="R31" s="321">
        <f>'[8]17-ChiNSDP2018'!J30</f>
        <v>2372.5</v>
      </c>
      <c r="S31" s="196">
        <f>'[13]17-ChiNSDP2018'!J30</f>
        <v>4212</v>
      </c>
      <c r="T31" s="196">
        <f>'[14]17-ChiNSDP2018'!J30</f>
        <v>2432.5</v>
      </c>
      <c r="U31" s="196">
        <f>'[7]17-ChiNSDP2018'!J30</f>
        <v>1844</v>
      </c>
      <c r="V31" s="196">
        <f>'[15]17-ChiNSDP2018'!J30</f>
        <v>1711</v>
      </c>
      <c r="W31" s="196">
        <f>'[16]17-ChiNSDP2018'!J30</f>
        <v>1469.5</v>
      </c>
      <c r="X31" s="196">
        <f>'[9]17-ChiNSDP2018'!J30</f>
        <v>1643.5</v>
      </c>
      <c r="Y31" s="196">
        <f>'[4]17-ChiNSDP2018'!J30</f>
        <v>1845.5</v>
      </c>
      <c r="Z31" s="196">
        <f>'[6]17-ChiNSDP2018'!J30</f>
        <v>2028.5</v>
      </c>
      <c r="AA31" s="196">
        <f>'[17]17-ChiNSDP2018'!J30</f>
        <v>1066.5</v>
      </c>
      <c r="AB31" s="158">
        <f t="shared" si="23"/>
        <v>39485.300000000003</v>
      </c>
      <c r="AC31" s="226">
        <f t="shared" si="5"/>
        <v>0</v>
      </c>
      <c r="AF31" s="196">
        <v>3620</v>
      </c>
      <c r="AG31" s="196">
        <f>+AG29-AG30</f>
        <v>3084.2200000000012</v>
      </c>
      <c r="AL31" s="196">
        <v>1995</v>
      </c>
      <c r="AM31" s="196">
        <v>2041</v>
      </c>
      <c r="AN31" s="196">
        <v>2041</v>
      </c>
      <c r="AO31" s="196">
        <v>1495</v>
      </c>
      <c r="AQ31" s="196">
        <f>+AQ29-AQ30</f>
        <v>2400</v>
      </c>
    </row>
    <row r="32" spans="1:45" ht="15.75">
      <c r="A32" s="76">
        <v>2</v>
      </c>
      <c r="B32" s="78" t="s">
        <v>390</v>
      </c>
      <c r="C32" s="158" t="e">
        <f t="shared" si="3"/>
        <v>#REF!</v>
      </c>
      <c r="D32" s="158" t="e">
        <f>'49-CK NSNN'!#REF!</f>
        <v>#REF!</v>
      </c>
      <c r="E32" s="158" t="e">
        <f>'49-CK NSNN'!#REF!</f>
        <v>#REF!</v>
      </c>
      <c r="F32" s="158">
        <f t="shared" si="16"/>
        <v>24616.422999999999</v>
      </c>
      <c r="G32" s="158">
        <f>'23-DG chi NST theoLV'!E33</f>
        <v>24616.422999999999</v>
      </c>
      <c r="H32" s="158">
        <f t="shared" si="25"/>
        <v>0</v>
      </c>
      <c r="I32" s="173" t="e">
        <f t="shared" si="7"/>
        <v>#REF!</v>
      </c>
      <c r="J32" s="173" t="e">
        <f t="shared" si="8"/>
        <v>#REF!</v>
      </c>
      <c r="K32" s="173"/>
      <c r="M32" s="196">
        <f>'[10]17-ChiNSDP2018'!J31</f>
        <v>0</v>
      </c>
      <c r="N32" s="321">
        <f>'[11]17-ChiNSDP2018'!J31</f>
        <v>0</v>
      </c>
      <c r="O32" s="158">
        <f>'[12]17-ChiNSDP2018'!J31</f>
        <v>0</v>
      </c>
      <c r="P32" s="196">
        <f>'[3]17-ChiNSDP2018'!J31</f>
        <v>0</v>
      </c>
      <c r="Q32" s="196">
        <f>'[5]17-ChiNSDP2018'!J31</f>
        <v>0</v>
      </c>
      <c r="R32" s="321">
        <f>'[8]17-ChiNSDP2018'!J31</f>
        <v>0</v>
      </c>
      <c r="S32" s="196">
        <f>'[13]17-ChiNSDP2018'!J31</f>
        <v>0</v>
      </c>
      <c r="T32" s="196">
        <f>'[14]17-ChiNSDP2018'!J31</f>
        <v>0</v>
      </c>
      <c r="U32" s="196">
        <f>'[7]17-ChiNSDP2018'!J31</f>
        <v>0</v>
      </c>
      <c r="V32" s="196">
        <f>'[15]17-ChiNSDP2018'!J31</f>
        <v>0</v>
      </c>
      <c r="W32" s="196">
        <f>'[16]17-ChiNSDP2018'!J31</f>
        <v>0</v>
      </c>
      <c r="X32" s="196">
        <f>'[9]17-ChiNSDP2018'!J31</f>
        <v>0</v>
      </c>
      <c r="Y32" s="196">
        <f>'[4]17-ChiNSDP2018'!J31</f>
        <v>0</v>
      </c>
      <c r="Z32" s="196">
        <f>'[6]17-ChiNSDP2018'!J31</f>
        <v>0</v>
      </c>
      <c r="AA32" s="196">
        <f>'[17]17-ChiNSDP2018'!J31</f>
        <v>0</v>
      </c>
      <c r="AB32" s="158">
        <f t="shared" si="23"/>
        <v>0</v>
      </c>
      <c r="AC32" s="226">
        <f t="shared" si="5"/>
        <v>0</v>
      </c>
    </row>
    <row r="33" spans="1:45" ht="30">
      <c r="A33" s="83">
        <v>3</v>
      </c>
      <c r="B33" s="64" t="s">
        <v>895</v>
      </c>
      <c r="C33" s="158" t="e">
        <f t="shared" ref="C33:C41" si="26">+D33+E33</f>
        <v>#REF!</v>
      </c>
      <c r="D33" s="158" t="e">
        <f>+D34+D35</f>
        <v>#REF!</v>
      </c>
      <c r="E33" s="158" t="e">
        <f>+E34+E35</f>
        <v>#REF!</v>
      </c>
      <c r="F33" s="158">
        <f t="shared" ref="F33:F41" si="27">+G33+H33</f>
        <v>204340.69494699998</v>
      </c>
      <c r="G33" s="158">
        <f>+G34+G35</f>
        <v>63993.242946999999</v>
      </c>
      <c r="H33" s="158">
        <f>+H34+H35</f>
        <v>140347.45199999999</v>
      </c>
      <c r="I33" s="173" t="e">
        <f t="shared" si="7"/>
        <v>#REF!</v>
      </c>
      <c r="J33" s="173" t="e">
        <f t="shared" si="8"/>
        <v>#REF!</v>
      </c>
      <c r="K33" s="173" t="e">
        <f t="shared" si="9"/>
        <v>#REF!</v>
      </c>
      <c r="M33" s="196">
        <f>'[10]17-ChiNSDP2018'!J32</f>
        <v>11280.616</v>
      </c>
      <c r="N33" s="321">
        <f>'[11]17-ChiNSDP2018'!J32</f>
        <v>11678.812</v>
      </c>
      <c r="O33" s="158">
        <f>'[12]17-ChiNSDP2018'!J32</f>
        <v>9385.8220000000001</v>
      </c>
      <c r="P33" s="196">
        <f>'[3]17-ChiNSDP2018'!J32</f>
        <v>7378</v>
      </c>
      <c r="Q33" s="196">
        <f>'[5]17-ChiNSDP2018'!J32</f>
        <v>13919.272000000001</v>
      </c>
      <c r="R33" s="321">
        <f>'[8]17-ChiNSDP2018'!J32</f>
        <v>7801.5</v>
      </c>
      <c r="S33" s="196">
        <f>'[13]17-ChiNSDP2018'!J32</f>
        <v>12418.482</v>
      </c>
      <c r="T33" s="196">
        <f>'[14]17-ChiNSDP2018'!J32</f>
        <v>8015.1559999999999</v>
      </c>
      <c r="U33" s="196">
        <f>'[7]17-ChiNSDP2018'!J32</f>
        <v>8099.5</v>
      </c>
      <c r="V33" s="196">
        <f>'[15]17-ChiNSDP2018'!J32</f>
        <v>10598</v>
      </c>
      <c r="W33" s="196">
        <f>'[16]17-ChiNSDP2018'!J32</f>
        <v>7788.4840000000004</v>
      </c>
      <c r="X33" s="196">
        <f>'[9]17-ChiNSDP2018'!J32</f>
        <v>9409.6539999999986</v>
      </c>
      <c r="Y33" s="196">
        <f>'[4]17-ChiNSDP2018'!J32</f>
        <v>5802.4940000000006</v>
      </c>
      <c r="Z33" s="196">
        <f>'[6]17-ChiNSDP2018'!J32</f>
        <v>11080</v>
      </c>
      <c r="AA33" s="196">
        <f>'[17]17-ChiNSDP2018'!J32</f>
        <v>5691.66</v>
      </c>
      <c r="AB33" s="158">
        <f t="shared" si="23"/>
        <v>140347.45200000002</v>
      </c>
      <c r="AC33" s="226">
        <f t="shared" si="5"/>
        <v>0</v>
      </c>
      <c r="AD33" s="196">
        <v>14255</v>
      </c>
      <c r="AE33" s="196">
        <f>+AE34+AE35</f>
        <v>11900</v>
      </c>
      <c r="AF33" s="196">
        <f>+AF34+AF35</f>
        <v>12923</v>
      </c>
      <c r="AG33" s="196">
        <f>+AG34+AG35</f>
        <v>8979.6239999999998</v>
      </c>
      <c r="AJ33" s="196">
        <f>+AJ34+AJ35</f>
        <v>15436</v>
      </c>
      <c r="AK33" s="196">
        <f>+AK34+AK35</f>
        <v>8100</v>
      </c>
      <c r="AL33" s="196">
        <v>7830</v>
      </c>
      <c r="AM33" s="196">
        <f>+AM34+AM35</f>
        <v>81790</v>
      </c>
      <c r="AN33" s="196">
        <f>+AN34+AN35</f>
        <v>5209</v>
      </c>
      <c r="AO33" s="196">
        <f>+AO34+AO35</f>
        <v>4536</v>
      </c>
      <c r="AP33" s="196">
        <f>+AP34+AP35</f>
        <v>6214</v>
      </c>
      <c r="AQ33" s="196">
        <f>+AQ34+AQ35</f>
        <v>12176</v>
      </c>
    </row>
    <row r="34" spans="1:45" s="317" customFormat="1" ht="15.75">
      <c r="A34" s="146"/>
      <c r="B34" s="147" t="s">
        <v>907</v>
      </c>
      <c r="C34" s="158" t="e">
        <f t="shared" si="26"/>
        <v>#REF!</v>
      </c>
      <c r="D34" s="158" t="e">
        <f>'49-CK NSNN'!#REF!</f>
        <v>#REF!</v>
      </c>
      <c r="E34" s="158" t="e">
        <f>'49-CK NSNN'!#REF!</f>
        <v>#REF!</v>
      </c>
      <c r="F34" s="158">
        <f t="shared" si="27"/>
        <v>162861.94494700001</v>
      </c>
      <c r="G34" s="166">
        <f>'23-DG chi NST theoLV'!E34</f>
        <v>56308.992946999999</v>
      </c>
      <c r="H34" s="158">
        <f t="shared" si="25"/>
        <v>106552.952</v>
      </c>
      <c r="I34" s="173" t="e">
        <f t="shared" si="7"/>
        <v>#REF!</v>
      </c>
      <c r="J34" s="173" t="e">
        <f t="shared" si="8"/>
        <v>#REF!</v>
      </c>
      <c r="K34" s="173" t="e">
        <f t="shared" si="9"/>
        <v>#REF!</v>
      </c>
      <c r="M34" s="196">
        <f>'[10]17-ChiNSDP2018'!J33</f>
        <v>8763.616</v>
      </c>
      <c r="N34" s="321">
        <f>'[11]17-ChiNSDP2018'!J33</f>
        <v>8589.3119999999999</v>
      </c>
      <c r="O34" s="158">
        <f>'[12]17-ChiNSDP2018'!J33</f>
        <v>6981.3220000000001</v>
      </c>
      <c r="P34" s="196">
        <f>'[3]17-ChiNSDP2018'!J33</f>
        <v>5521.5</v>
      </c>
      <c r="Q34" s="196">
        <f>'[5]17-ChiNSDP2018'!J33</f>
        <v>10760.272000000001</v>
      </c>
      <c r="R34" s="321">
        <f>'[8]17-ChiNSDP2018'!J33</f>
        <v>5950</v>
      </c>
      <c r="S34" s="196">
        <f>'[13]17-ChiNSDP2018'!J33</f>
        <v>9546.482</v>
      </c>
      <c r="T34" s="196">
        <f>'[14]17-ChiNSDP2018'!J33</f>
        <v>6051.6559999999999</v>
      </c>
      <c r="U34" s="196">
        <f>'[7]17-ChiNSDP2018'!J33</f>
        <v>5986</v>
      </c>
      <c r="V34" s="196">
        <f>'[15]17-ChiNSDP2018'!J33</f>
        <v>7977</v>
      </c>
      <c r="W34" s="196">
        <f>'[16]17-ChiNSDP2018'!J33</f>
        <v>6158.4840000000004</v>
      </c>
      <c r="X34" s="196">
        <f>'[9]17-ChiNSDP2018'!J33</f>
        <v>7119.6539999999995</v>
      </c>
      <c r="Y34" s="196">
        <f>'[4]17-ChiNSDP2018'!J33</f>
        <v>4309.9940000000006</v>
      </c>
      <c r="Z34" s="196">
        <f>'[6]17-ChiNSDP2018'!J33</f>
        <v>8451</v>
      </c>
      <c r="AA34" s="196">
        <f>'[17]17-ChiNSDP2018'!J33</f>
        <v>4386.66</v>
      </c>
      <c r="AB34" s="158">
        <f t="shared" si="23"/>
        <v>106552.952</v>
      </c>
      <c r="AC34" s="226">
        <f t="shared" si="5"/>
        <v>0</v>
      </c>
      <c r="AD34" s="318">
        <v>9019</v>
      </c>
      <c r="AE34" s="318">
        <v>7800</v>
      </c>
      <c r="AF34" s="318">
        <v>8862</v>
      </c>
      <c r="AG34" s="318">
        <v>6528.6239999999998</v>
      </c>
      <c r="AH34" s="318"/>
      <c r="AI34" s="318"/>
      <c r="AJ34" s="318">
        <v>12281</v>
      </c>
      <c r="AK34" s="318">
        <v>6019</v>
      </c>
      <c r="AL34" s="318"/>
      <c r="AM34" s="318">
        <v>4073</v>
      </c>
      <c r="AN34" s="318">
        <v>4209</v>
      </c>
      <c r="AO34" s="318">
        <v>4000</v>
      </c>
      <c r="AP34" s="318">
        <v>4633</v>
      </c>
      <c r="AQ34" s="318">
        <v>8376</v>
      </c>
      <c r="AR34" s="318"/>
      <c r="AS34" s="318"/>
    </row>
    <row r="35" spans="1:45" s="317" customFormat="1" ht="15.75">
      <c r="A35" s="146"/>
      <c r="B35" s="147" t="s">
        <v>908</v>
      </c>
      <c r="C35" s="158" t="e">
        <f t="shared" si="26"/>
        <v>#REF!</v>
      </c>
      <c r="D35" s="158" t="e">
        <f>'49-CK NSNN'!#REF!</f>
        <v>#REF!</v>
      </c>
      <c r="E35" s="158" t="e">
        <f>'49-CK NSNN'!#REF!</f>
        <v>#REF!</v>
      </c>
      <c r="F35" s="158">
        <f t="shared" si="27"/>
        <v>41478.75</v>
      </c>
      <c r="G35" s="166">
        <f>'23-DG chi NST theoLV'!E35</f>
        <v>7684.25</v>
      </c>
      <c r="H35" s="158">
        <f t="shared" si="25"/>
        <v>33794.5</v>
      </c>
      <c r="I35" s="173" t="e">
        <f t="shared" si="7"/>
        <v>#REF!</v>
      </c>
      <c r="J35" s="173" t="e">
        <f t="shared" si="8"/>
        <v>#REF!</v>
      </c>
      <c r="K35" s="173" t="e">
        <f t="shared" si="9"/>
        <v>#REF!</v>
      </c>
      <c r="M35" s="196">
        <f>'[10]17-ChiNSDP2018'!J34</f>
        <v>2517</v>
      </c>
      <c r="N35" s="321">
        <f>'[11]17-ChiNSDP2018'!J34</f>
        <v>3089.5</v>
      </c>
      <c r="O35" s="158">
        <f>'[12]17-ChiNSDP2018'!J34</f>
        <v>2404.5</v>
      </c>
      <c r="P35" s="196">
        <f>'[3]17-ChiNSDP2018'!J34</f>
        <v>1856.5</v>
      </c>
      <c r="Q35" s="196">
        <f>'[5]17-ChiNSDP2018'!J34</f>
        <v>3159</v>
      </c>
      <c r="R35" s="321">
        <f>'[8]17-ChiNSDP2018'!J34</f>
        <v>1851.5</v>
      </c>
      <c r="S35" s="196">
        <f>'[13]17-ChiNSDP2018'!J34</f>
        <v>2872</v>
      </c>
      <c r="T35" s="196">
        <f>'[14]17-ChiNSDP2018'!J34</f>
        <v>1963.5</v>
      </c>
      <c r="U35" s="196">
        <f>'[7]17-ChiNSDP2018'!J34</f>
        <v>2113.5</v>
      </c>
      <c r="V35" s="196">
        <f>'[15]17-ChiNSDP2018'!J34</f>
        <v>2621</v>
      </c>
      <c r="W35" s="196">
        <f>'[16]17-ChiNSDP2018'!J34</f>
        <v>1630</v>
      </c>
      <c r="X35" s="196">
        <f>'[9]17-ChiNSDP2018'!J34</f>
        <v>2290</v>
      </c>
      <c r="Y35" s="196">
        <f>'[4]17-ChiNSDP2018'!J34</f>
        <v>1492.5</v>
      </c>
      <c r="Z35" s="196">
        <f>'[6]17-ChiNSDP2018'!J34</f>
        <v>2629</v>
      </c>
      <c r="AA35" s="196">
        <f>'[17]17-ChiNSDP2018'!J34</f>
        <v>1305</v>
      </c>
      <c r="AB35" s="158">
        <f t="shared" si="23"/>
        <v>33794.5</v>
      </c>
      <c r="AC35" s="226">
        <f t="shared" si="5"/>
        <v>0</v>
      </c>
      <c r="AD35" s="318">
        <f>+AD33-AD34</f>
        <v>5236</v>
      </c>
      <c r="AE35" s="318">
        <v>4100</v>
      </c>
      <c r="AF35" s="318">
        <v>4061</v>
      </c>
      <c r="AG35" s="318">
        <v>2451</v>
      </c>
      <c r="AH35" s="318"/>
      <c r="AI35" s="318"/>
      <c r="AJ35" s="318">
        <v>3155</v>
      </c>
      <c r="AK35" s="318">
        <v>2081</v>
      </c>
      <c r="AL35" s="318"/>
      <c r="AM35" s="318">
        <v>77717</v>
      </c>
      <c r="AN35" s="318">
        <v>1000</v>
      </c>
      <c r="AO35" s="318">
        <v>536</v>
      </c>
      <c r="AP35" s="318">
        <v>1581</v>
      </c>
      <c r="AQ35" s="318">
        <v>3800</v>
      </c>
      <c r="AR35" s="318"/>
      <c r="AS35" s="318"/>
    </row>
    <row r="36" spans="1:45" ht="15.75">
      <c r="A36" s="83">
        <v>4</v>
      </c>
      <c r="B36" s="64" t="s">
        <v>507</v>
      </c>
      <c r="C36" s="158" t="e">
        <f t="shared" si="26"/>
        <v>#REF!</v>
      </c>
      <c r="D36" s="158" t="e">
        <f>'49-CK NSNN'!#REF!</f>
        <v>#REF!</v>
      </c>
      <c r="E36" s="158" t="e">
        <f>'49-CK NSNN'!#REF!</f>
        <v>#REF!</v>
      </c>
      <c r="F36" s="158">
        <f t="shared" si="27"/>
        <v>670110.62900999992</v>
      </c>
      <c r="G36" s="166">
        <f>'23-DG chi NST theoLV'!E36</f>
        <v>654277.12900999992</v>
      </c>
      <c r="H36" s="158">
        <f t="shared" si="25"/>
        <v>15833.5</v>
      </c>
      <c r="I36" s="173" t="e">
        <f t="shared" si="7"/>
        <v>#REF!</v>
      </c>
      <c r="J36" s="173" t="e">
        <f t="shared" si="8"/>
        <v>#REF!</v>
      </c>
      <c r="K36" s="173" t="e">
        <f t="shared" si="9"/>
        <v>#REF!</v>
      </c>
      <c r="M36" s="196">
        <f>'[10]17-ChiNSDP2018'!J35</f>
        <v>1144</v>
      </c>
      <c r="N36" s="321">
        <f>'[11]17-ChiNSDP2018'!J35</f>
        <v>1315.5</v>
      </c>
      <c r="O36" s="158">
        <f>'[12]17-ChiNSDP2018'!J35</f>
        <v>1039.5</v>
      </c>
      <c r="P36" s="196">
        <f>'[3]17-ChiNSDP2018'!J35</f>
        <v>925.5</v>
      </c>
      <c r="Q36" s="196">
        <f>'[5]17-ChiNSDP2018'!J35</f>
        <v>1618</v>
      </c>
      <c r="R36" s="321">
        <f>'[8]17-ChiNSDP2018'!J35</f>
        <v>930</v>
      </c>
      <c r="S36" s="196">
        <f>'[13]17-ChiNSDP2018'!J35</f>
        <v>2157.5</v>
      </c>
      <c r="T36" s="196">
        <f>'[14]17-ChiNSDP2018'!J35</f>
        <v>552</v>
      </c>
      <c r="U36" s="196">
        <f>'[7]17-ChiNSDP2018'!J35</f>
        <v>2295</v>
      </c>
      <c r="V36" s="196">
        <f>'[15]17-ChiNSDP2018'!J35</f>
        <v>710</v>
      </c>
      <c r="W36" s="196">
        <f>'[16]17-ChiNSDP2018'!J35</f>
        <v>544</v>
      </c>
      <c r="X36" s="196">
        <f>'[9]17-ChiNSDP2018'!J35</f>
        <v>903</v>
      </c>
      <c r="Y36" s="196">
        <f>'[4]17-ChiNSDP2018'!J35</f>
        <v>327</v>
      </c>
      <c r="Z36" s="196">
        <f>'[6]17-ChiNSDP2018'!J35</f>
        <v>1020.5</v>
      </c>
      <c r="AA36" s="196">
        <f>'[17]17-ChiNSDP2018'!J35</f>
        <v>352</v>
      </c>
      <c r="AB36" s="158">
        <f t="shared" si="23"/>
        <v>15833.5</v>
      </c>
      <c r="AC36" s="226">
        <f t="shared" si="5"/>
        <v>0</v>
      </c>
      <c r="AD36" s="196">
        <v>316</v>
      </c>
      <c r="AE36" s="196">
        <v>1308</v>
      </c>
      <c r="AF36" s="196">
        <v>1133</v>
      </c>
      <c r="AG36" s="196">
        <v>924</v>
      </c>
      <c r="AJ36" s="196">
        <v>2101</v>
      </c>
      <c r="AK36" s="196">
        <v>253</v>
      </c>
      <c r="AL36" s="196">
        <v>2323</v>
      </c>
      <c r="AM36" s="196">
        <v>727</v>
      </c>
      <c r="AN36" s="196">
        <v>557</v>
      </c>
      <c r="AO36" s="196">
        <v>831</v>
      </c>
      <c r="AP36" s="196">
        <v>332</v>
      </c>
      <c r="AQ36" s="196">
        <v>1100</v>
      </c>
    </row>
    <row r="37" spans="1:45" ht="15.75">
      <c r="A37" s="83">
        <v>5</v>
      </c>
      <c r="B37" s="64" t="s">
        <v>508</v>
      </c>
      <c r="C37" s="158" t="e">
        <f t="shared" si="26"/>
        <v>#REF!</v>
      </c>
      <c r="D37" s="158" t="e">
        <f>'49-CK NSNN'!#REF!</f>
        <v>#REF!</v>
      </c>
      <c r="E37" s="158" t="e">
        <f>'49-CK NSNN'!#REF!</f>
        <v>#REF!</v>
      </c>
      <c r="F37" s="158">
        <f t="shared" si="27"/>
        <v>53705.8</v>
      </c>
      <c r="G37" s="166">
        <f>'23-DG chi NST theoLV'!E37</f>
        <v>30941.8</v>
      </c>
      <c r="H37" s="158">
        <f t="shared" si="25"/>
        <v>22764</v>
      </c>
      <c r="I37" s="173" t="e">
        <f t="shared" si="7"/>
        <v>#REF!</v>
      </c>
      <c r="J37" s="173" t="e">
        <f t="shared" si="8"/>
        <v>#REF!</v>
      </c>
      <c r="K37" s="173" t="e">
        <f t="shared" si="9"/>
        <v>#REF!</v>
      </c>
      <c r="M37" s="196">
        <f>'[10]17-ChiNSDP2018'!J36</f>
        <v>1869.5</v>
      </c>
      <c r="N37" s="321">
        <f>'[11]17-ChiNSDP2018'!J36</f>
        <v>2133.5</v>
      </c>
      <c r="O37" s="158">
        <f>'[12]17-ChiNSDP2018'!J36</f>
        <v>1550</v>
      </c>
      <c r="P37" s="196">
        <f>'[3]17-ChiNSDP2018'!J36</f>
        <v>1556.5</v>
      </c>
      <c r="Q37" s="196">
        <f>'[5]17-ChiNSDP2018'!J36</f>
        <v>2533</v>
      </c>
      <c r="R37" s="321">
        <f>'[8]17-ChiNSDP2018'!J36</f>
        <v>1500.5</v>
      </c>
      <c r="S37" s="196">
        <f>'[13]17-ChiNSDP2018'!J36</f>
        <v>2003.5</v>
      </c>
      <c r="T37" s="196">
        <f>'[14]17-ChiNSDP2018'!J36</f>
        <v>1492.5</v>
      </c>
      <c r="U37" s="196">
        <f>'[7]17-ChiNSDP2018'!J36</f>
        <v>1285</v>
      </c>
      <c r="V37" s="196">
        <f>'[15]17-ChiNSDP2018'!J36</f>
        <v>1502</v>
      </c>
      <c r="W37" s="196">
        <f>'[16]17-ChiNSDP2018'!J36</f>
        <v>1059</v>
      </c>
      <c r="X37" s="196">
        <f>'[9]17-ChiNSDP2018'!J36</f>
        <v>1048</v>
      </c>
      <c r="Y37" s="196">
        <f>'[4]17-ChiNSDP2018'!J36</f>
        <v>1226</v>
      </c>
      <c r="Z37" s="196">
        <f>'[6]17-ChiNSDP2018'!J36</f>
        <v>1230</v>
      </c>
      <c r="AA37" s="196">
        <f>'[17]17-ChiNSDP2018'!J36</f>
        <v>775</v>
      </c>
      <c r="AB37" s="158">
        <f t="shared" si="23"/>
        <v>22764</v>
      </c>
      <c r="AC37" s="226">
        <f t="shared" si="5"/>
        <v>0</v>
      </c>
      <c r="AD37" s="196">
        <v>1930</v>
      </c>
      <c r="AE37" s="196">
        <v>2068</v>
      </c>
      <c r="AF37" s="196">
        <v>2903</v>
      </c>
      <c r="AG37" s="196">
        <v>1884</v>
      </c>
      <c r="AJ37" s="196">
        <v>3301</v>
      </c>
      <c r="AK37" s="196">
        <v>1427</v>
      </c>
      <c r="AL37" s="196">
        <v>1550</v>
      </c>
      <c r="AM37" s="196">
        <v>1617</v>
      </c>
      <c r="AN37" s="196">
        <v>869</v>
      </c>
      <c r="AO37" s="196">
        <v>998</v>
      </c>
      <c r="AP37" s="196">
        <v>1190</v>
      </c>
      <c r="AQ37" s="196">
        <v>1300</v>
      </c>
    </row>
    <row r="38" spans="1:45" ht="15.75">
      <c r="A38" s="83">
        <v>6</v>
      </c>
      <c r="B38" s="64" t="s">
        <v>896</v>
      </c>
      <c r="C38" s="158" t="e">
        <f t="shared" si="26"/>
        <v>#REF!</v>
      </c>
      <c r="D38" s="158" t="e">
        <f>'49-CK NSNN'!#REF!</f>
        <v>#REF!</v>
      </c>
      <c r="E38" s="158" t="e">
        <f>'49-CK NSNN'!#REF!</f>
        <v>#REF!</v>
      </c>
      <c r="F38" s="158">
        <f t="shared" si="27"/>
        <v>25843</v>
      </c>
      <c r="G38" s="166">
        <f>'23-DG chi NST theoLV'!E38</f>
        <v>9500</v>
      </c>
      <c r="H38" s="158">
        <f t="shared" si="25"/>
        <v>16343</v>
      </c>
      <c r="I38" s="173" t="e">
        <f t="shared" si="7"/>
        <v>#REF!</v>
      </c>
      <c r="J38" s="173" t="e">
        <f t="shared" si="8"/>
        <v>#REF!</v>
      </c>
      <c r="K38" s="173" t="e">
        <f t="shared" si="9"/>
        <v>#REF!</v>
      </c>
      <c r="M38" s="196">
        <f>'[10]17-ChiNSDP2018'!J37</f>
        <v>1348.5</v>
      </c>
      <c r="N38" s="321">
        <f>'[11]17-ChiNSDP2018'!J37</f>
        <v>1570</v>
      </c>
      <c r="O38" s="158">
        <f>'[12]17-ChiNSDP2018'!J37</f>
        <v>1185.5</v>
      </c>
      <c r="P38" s="196">
        <f>'[3]17-ChiNSDP2018'!J37</f>
        <v>858.5</v>
      </c>
      <c r="Q38" s="196">
        <f>'[5]17-ChiNSDP2018'!J37</f>
        <v>1925</v>
      </c>
      <c r="R38" s="321">
        <f>'[8]17-ChiNSDP2018'!J37</f>
        <v>1199.5</v>
      </c>
      <c r="S38" s="196">
        <f>'[13]17-ChiNSDP2018'!J37</f>
        <v>1523</v>
      </c>
      <c r="T38" s="196">
        <f>'[14]17-ChiNSDP2018'!J37</f>
        <v>940.5</v>
      </c>
      <c r="U38" s="196">
        <f>'[7]17-ChiNSDP2018'!J37</f>
        <v>932</v>
      </c>
      <c r="V38" s="196">
        <f>'[15]17-ChiNSDP2018'!J37</f>
        <v>944.5</v>
      </c>
      <c r="W38" s="196">
        <f>'[16]17-ChiNSDP2018'!J37</f>
        <v>763</v>
      </c>
      <c r="X38" s="196">
        <f>'[9]17-ChiNSDP2018'!J37</f>
        <v>835.5</v>
      </c>
      <c r="Y38" s="196">
        <f>'[4]17-ChiNSDP2018'!J37</f>
        <v>729.5</v>
      </c>
      <c r="Z38" s="196">
        <f>'[6]17-ChiNSDP2018'!J37</f>
        <v>1025.5</v>
      </c>
      <c r="AA38" s="196">
        <f>'[17]17-ChiNSDP2018'!J37</f>
        <v>562.5</v>
      </c>
      <c r="AB38" s="158">
        <f t="shared" si="23"/>
        <v>16343</v>
      </c>
      <c r="AC38" s="226">
        <f t="shared" si="5"/>
        <v>0</v>
      </c>
      <c r="AD38" s="196">
        <v>1423</v>
      </c>
      <c r="AE38" s="196">
        <v>1676</v>
      </c>
      <c r="AF38" s="196">
        <v>1848</v>
      </c>
      <c r="AG38" s="196">
        <v>901</v>
      </c>
      <c r="AJ38" s="196">
        <v>1413</v>
      </c>
      <c r="AK38" s="196">
        <v>1172</v>
      </c>
      <c r="AL38" s="196">
        <v>979</v>
      </c>
      <c r="AM38" s="196">
        <v>1638</v>
      </c>
      <c r="AN38" s="196">
        <v>734</v>
      </c>
      <c r="AO38" s="196">
        <v>723</v>
      </c>
      <c r="AP38" s="196">
        <v>759</v>
      </c>
      <c r="AQ38" s="196">
        <v>1200</v>
      </c>
    </row>
    <row r="39" spans="1:45" ht="15.75">
      <c r="A39" s="83">
        <v>7</v>
      </c>
      <c r="B39" s="64" t="s">
        <v>510</v>
      </c>
      <c r="C39" s="158" t="e">
        <f t="shared" si="26"/>
        <v>#REF!</v>
      </c>
      <c r="D39" s="158" t="e">
        <f>'49-CK NSNN'!#REF!</f>
        <v>#REF!</v>
      </c>
      <c r="E39" s="158" t="e">
        <f>'49-CK NSNN'!#REF!</f>
        <v>#REF!</v>
      </c>
      <c r="F39" s="158">
        <f t="shared" si="27"/>
        <v>29511.413</v>
      </c>
      <c r="G39" s="166">
        <f>'23-DG chi NST theoLV'!E39</f>
        <v>17624.913</v>
      </c>
      <c r="H39" s="158">
        <f t="shared" si="25"/>
        <v>11886.5</v>
      </c>
      <c r="I39" s="173" t="e">
        <f t="shared" si="7"/>
        <v>#REF!</v>
      </c>
      <c r="J39" s="173" t="e">
        <f t="shared" si="8"/>
        <v>#REF!</v>
      </c>
      <c r="K39" s="173" t="e">
        <f t="shared" si="9"/>
        <v>#REF!</v>
      </c>
      <c r="M39" s="196">
        <f>'[10]17-ChiNSDP2018'!J38</f>
        <v>1078</v>
      </c>
      <c r="N39" s="321">
        <f>'[11]17-ChiNSDP2018'!J38</f>
        <v>1202</v>
      </c>
      <c r="O39" s="158">
        <f>'[12]17-ChiNSDP2018'!J38</f>
        <v>959.5</v>
      </c>
      <c r="P39" s="196">
        <f>'[3]17-ChiNSDP2018'!J38</f>
        <v>698</v>
      </c>
      <c r="Q39" s="196">
        <f>'[5]17-ChiNSDP2018'!J38</f>
        <v>1542</v>
      </c>
      <c r="R39" s="321">
        <f>'[8]17-ChiNSDP2018'!J38</f>
        <v>693</v>
      </c>
      <c r="S39" s="196">
        <f>'[13]17-ChiNSDP2018'!J38</f>
        <v>1216</v>
      </c>
      <c r="T39" s="196">
        <f>'[14]17-ChiNSDP2018'!J38</f>
        <v>691</v>
      </c>
      <c r="U39" s="196">
        <f>'[7]17-ChiNSDP2018'!J38</f>
        <v>611</v>
      </c>
      <c r="V39" s="196">
        <f>'[15]17-ChiNSDP2018'!J38</f>
        <v>495</v>
      </c>
      <c r="W39" s="196">
        <f>'[16]17-ChiNSDP2018'!J38</f>
        <v>445.5</v>
      </c>
      <c r="X39" s="196">
        <f>'[9]17-ChiNSDP2018'!J38</f>
        <v>698.5</v>
      </c>
      <c r="Y39" s="196">
        <f>'[4]17-ChiNSDP2018'!J38</f>
        <v>595</v>
      </c>
      <c r="Z39" s="196">
        <f>'[6]17-ChiNSDP2018'!J38</f>
        <v>592</v>
      </c>
      <c r="AA39" s="196">
        <f>'[17]17-ChiNSDP2018'!J38</f>
        <v>370</v>
      </c>
      <c r="AB39" s="158">
        <f t="shared" si="23"/>
        <v>11886.5</v>
      </c>
      <c r="AC39" s="226">
        <f t="shared" si="5"/>
        <v>0</v>
      </c>
      <c r="AD39" s="196">
        <v>1132</v>
      </c>
      <c r="AE39" s="196">
        <v>1400</v>
      </c>
      <c r="AF39" s="196">
        <v>1933</v>
      </c>
      <c r="AG39" s="196">
        <v>1136</v>
      </c>
      <c r="AJ39" s="196">
        <v>1444</v>
      </c>
      <c r="AK39" s="196">
        <v>742</v>
      </c>
      <c r="AL39" s="196">
        <v>726</v>
      </c>
      <c r="AM39" s="196">
        <v>767</v>
      </c>
      <c r="AN39" s="196">
        <v>812</v>
      </c>
      <c r="AO39" s="196">
        <v>659</v>
      </c>
      <c r="AP39" s="196">
        <v>655</v>
      </c>
      <c r="AQ39" s="196">
        <v>650</v>
      </c>
    </row>
    <row r="40" spans="1:45" ht="15.75">
      <c r="A40" s="83">
        <v>8</v>
      </c>
      <c r="B40" s="64" t="s">
        <v>511</v>
      </c>
      <c r="C40" s="158" t="e">
        <f t="shared" si="26"/>
        <v>#REF!</v>
      </c>
      <c r="D40" s="158" t="e">
        <f>'49-CK NSNN'!#REF!</f>
        <v>#REF!</v>
      </c>
      <c r="E40" s="158" t="e">
        <f>'49-CK NSNN'!#REF!</f>
        <v>#REF!</v>
      </c>
      <c r="F40" s="158">
        <f t="shared" si="27"/>
        <v>148475.12299999999</v>
      </c>
      <c r="G40" s="166">
        <f>'23-DG chi NST theoLV'!E40</f>
        <v>50917.122999999992</v>
      </c>
      <c r="H40" s="158">
        <f t="shared" si="25"/>
        <v>97558</v>
      </c>
      <c r="I40" s="173" t="e">
        <f t="shared" si="7"/>
        <v>#REF!</v>
      </c>
      <c r="J40" s="173" t="e">
        <f t="shared" si="8"/>
        <v>#REF!</v>
      </c>
      <c r="K40" s="173" t="e">
        <f t="shared" si="9"/>
        <v>#REF!</v>
      </c>
      <c r="M40" s="196">
        <f>'[10]17-ChiNSDP2018'!J39</f>
        <v>16838</v>
      </c>
      <c r="N40" s="321">
        <f>'[11]17-ChiNSDP2018'!J39</f>
        <v>5703</v>
      </c>
      <c r="O40" s="158">
        <f>'[12]17-ChiNSDP2018'!J39</f>
        <v>28769</v>
      </c>
      <c r="P40" s="196">
        <f>'[3]17-ChiNSDP2018'!J39</f>
        <v>4155</v>
      </c>
      <c r="Q40" s="196">
        <f>'[5]17-ChiNSDP2018'!J39</f>
        <v>6838</v>
      </c>
      <c r="R40" s="321">
        <f>'[8]17-ChiNSDP2018'!J39</f>
        <v>2605</v>
      </c>
      <c r="S40" s="196">
        <f>'[13]17-ChiNSDP2018'!J39</f>
        <v>5703</v>
      </c>
      <c r="T40" s="196">
        <f>'[14]17-ChiNSDP2018'!J39</f>
        <v>3944</v>
      </c>
      <c r="U40" s="196">
        <f>'[7]17-ChiNSDP2018'!J39</f>
        <v>3210</v>
      </c>
      <c r="V40" s="196">
        <f>'[15]17-ChiNSDP2018'!J39</f>
        <v>2605</v>
      </c>
      <c r="W40" s="196">
        <f>'[16]17-ChiNSDP2018'!J39</f>
        <v>5429</v>
      </c>
      <c r="X40" s="196">
        <f>'[9]17-ChiNSDP2018'!J39</f>
        <v>2605</v>
      </c>
      <c r="Y40" s="196">
        <f>'[4]17-ChiNSDP2018'!J39</f>
        <v>3944</v>
      </c>
      <c r="Z40" s="196">
        <f>'[6]17-ChiNSDP2018'!J39</f>
        <v>2605</v>
      </c>
      <c r="AA40" s="196">
        <f>'[17]17-ChiNSDP2018'!J39</f>
        <v>2605</v>
      </c>
      <c r="AB40" s="158">
        <f t="shared" si="23"/>
        <v>97558</v>
      </c>
      <c r="AC40" s="226">
        <f t="shared" si="5"/>
        <v>0</v>
      </c>
      <c r="AD40" s="196">
        <v>25338</v>
      </c>
      <c r="AE40" s="196">
        <v>11000</v>
      </c>
      <c r="AF40" s="196">
        <v>19268</v>
      </c>
      <c r="AG40" s="196">
        <v>4857.0780000000004</v>
      </c>
      <c r="AJ40" s="196">
        <v>9876</v>
      </c>
      <c r="AK40" s="196">
        <v>7300</v>
      </c>
      <c r="AL40" s="196">
        <v>3210</v>
      </c>
      <c r="AM40" s="196">
        <v>2865</v>
      </c>
      <c r="AN40" s="196">
        <v>5429</v>
      </c>
      <c r="AO40" s="196">
        <v>4200</v>
      </c>
      <c r="AP40" s="196">
        <v>3944</v>
      </c>
      <c r="AQ40" s="196">
        <v>2605</v>
      </c>
    </row>
    <row r="41" spans="1:45" ht="15.75">
      <c r="A41" s="83">
        <v>9</v>
      </c>
      <c r="B41" s="64" t="s">
        <v>512</v>
      </c>
      <c r="C41" s="158" t="e">
        <f t="shared" si="26"/>
        <v>#REF!</v>
      </c>
      <c r="D41" s="158" t="e">
        <f>'49-CK NSNN'!#REF!</f>
        <v>#REF!</v>
      </c>
      <c r="E41" s="158" t="e">
        <f>'49-CK NSNN'!#REF!</f>
        <v>#REF!</v>
      </c>
      <c r="F41" s="158">
        <f t="shared" si="27"/>
        <v>1326452.209362</v>
      </c>
      <c r="G41" s="166">
        <f>'23-DG chi NST theoLV'!E41</f>
        <v>613585.65</v>
      </c>
      <c r="H41" s="158">
        <f t="shared" si="25"/>
        <v>712866.55936199997</v>
      </c>
      <c r="I41" s="173" t="e">
        <f t="shared" si="7"/>
        <v>#REF!</v>
      </c>
      <c r="J41" s="173" t="e">
        <f t="shared" si="8"/>
        <v>#REF!</v>
      </c>
      <c r="K41" s="173" t="e">
        <f t="shared" si="9"/>
        <v>#REF!</v>
      </c>
      <c r="M41" s="196">
        <f>'[10]17-ChiNSDP2018'!J40</f>
        <v>46317.452227000002</v>
      </c>
      <c r="N41" s="321">
        <f>'[11]17-ChiNSDP2018'!J40</f>
        <v>41993.113799999999</v>
      </c>
      <c r="O41" s="158">
        <f>'[12]17-ChiNSDP2018'!J40</f>
        <v>41191</v>
      </c>
      <c r="P41" s="196">
        <f>'[3]17-ChiNSDP2018'!J40</f>
        <v>41278</v>
      </c>
      <c r="Q41" s="196">
        <f>'[5]17-ChiNSDP2018'!J40</f>
        <v>72117.946549999993</v>
      </c>
      <c r="R41" s="321">
        <f>'[8]17-ChiNSDP2018'!J40</f>
        <v>61939</v>
      </c>
      <c r="S41" s="196">
        <f>'[13]17-ChiNSDP2018'!J40</f>
        <v>49579.982785</v>
      </c>
      <c r="T41" s="196">
        <f>'[14]17-ChiNSDP2018'!J40</f>
        <v>24423.5</v>
      </c>
      <c r="U41" s="196">
        <f>'[7]17-ChiNSDP2018'!J40</f>
        <v>46542</v>
      </c>
      <c r="V41" s="196">
        <f>'[15]17-ChiNSDP2018'!J40</f>
        <v>58478</v>
      </c>
      <c r="W41" s="196">
        <f>'[16]17-ChiNSDP2018'!J40</f>
        <v>43316</v>
      </c>
      <c r="X41" s="196">
        <f>'[9]17-ChiNSDP2018'!J40</f>
        <v>69333.063999999998</v>
      </c>
      <c r="Y41" s="196">
        <f>'[4]17-ChiNSDP2018'!J40</f>
        <v>22887.5</v>
      </c>
      <c r="Z41" s="196">
        <f>'[6]17-ChiNSDP2018'!J40</f>
        <v>47580</v>
      </c>
      <c r="AA41" s="196">
        <f>'[17]17-ChiNSDP2018'!J40</f>
        <v>45890</v>
      </c>
      <c r="AB41" s="158">
        <f t="shared" si="23"/>
        <v>712866.55936199997</v>
      </c>
      <c r="AC41" s="226">
        <f t="shared" si="5"/>
        <v>0</v>
      </c>
      <c r="AD41" s="196">
        <v>58999</v>
      </c>
      <c r="AE41" s="196">
        <v>42000</v>
      </c>
      <c r="AF41" s="196">
        <v>56766</v>
      </c>
      <c r="AG41" s="196">
        <v>43909</v>
      </c>
      <c r="AJ41" s="196">
        <v>53070</v>
      </c>
      <c r="AK41" s="196">
        <v>25940</v>
      </c>
      <c r="AL41" s="196">
        <v>42034</v>
      </c>
      <c r="AM41" s="196">
        <v>50440</v>
      </c>
      <c r="AN41" s="196">
        <v>43645</v>
      </c>
      <c r="AO41" s="196">
        <v>52349</v>
      </c>
      <c r="AP41" s="196">
        <v>23450</v>
      </c>
      <c r="AQ41" s="196">
        <v>50000</v>
      </c>
    </row>
    <row r="42" spans="1:45" ht="15.75">
      <c r="A42" s="83">
        <v>10</v>
      </c>
      <c r="B42" s="64" t="s">
        <v>897</v>
      </c>
      <c r="C42" s="158" t="e">
        <f t="shared" si="3"/>
        <v>#REF!</v>
      </c>
      <c r="D42" s="158" t="e">
        <f>'49-CK NSNN'!#REF!</f>
        <v>#REF!</v>
      </c>
      <c r="E42" s="158" t="e">
        <f>'49-CK NSNN'!#REF!</f>
        <v>#REF!</v>
      </c>
      <c r="F42" s="158">
        <f t="shared" si="16"/>
        <v>1315440.4339766665</v>
      </c>
      <c r="G42" s="166">
        <f>'23-DG chi NST theoLV'!E42</f>
        <v>423786.4</v>
      </c>
      <c r="H42" s="158">
        <f>AB42-H68</f>
        <v>891654.03397666663</v>
      </c>
      <c r="I42" s="173" t="e">
        <f t="shared" si="7"/>
        <v>#REF!</v>
      </c>
      <c r="J42" s="173" t="e">
        <f t="shared" si="8"/>
        <v>#REF!</v>
      </c>
      <c r="K42" s="173" t="e">
        <f t="shared" si="9"/>
        <v>#REF!</v>
      </c>
      <c r="M42" s="196">
        <f>'[10]17-ChiNSDP2018'!J44</f>
        <v>70413.697</v>
      </c>
      <c r="N42" s="241">
        <f>'[11]17-ChiNSDP2018'!J44</f>
        <v>73480.5</v>
      </c>
      <c r="O42" s="158">
        <f>'[12]17-ChiNSDP2018'!J44</f>
        <v>63548.5</v>
      </c>
      <c r="P42" s="196">
        <f>'[3]17-ChiNSDP2018'!J44</f>
        <v>58141</v>
      </c>
      <c r="Q42" s="196">
        <f>'[5]17-ChiNSDP2018'!J44</f>
        <v>84240.565552999993</v>
      </c>
      <c r="R42" s="241">
        <f>'[8]17-ChiNSDP2018'!J44</f>
        <v>60973.5</v>
      </c>
      <c r="S42" s="196">
        <f>'[13]17-ChiNSDP2018'!J44</f>
        <v>76392</v>
      </c>
      <c r="T42" s="196">
        <f>'[14]17-ChiNSDP2018'!J44</f>
        <v>61989.760423</v>
      </c>
      <c r="U42" s="196">
        <f>'[7]17-ChiNSDP2018'!J44</f>
        <v>52374.5</v>
      </c>
      <c r="V42" s="196">
        <f>'[15]17-ChiNSDP2018'!J44</f>
        <v>54958.916666666664</v>
      </c>
      <c r="W42" s="196">
        <f>'[16]17-ChiNSDP2018'!J44</f>
        <v>43218.599000000002</v>
      </c>
      <c r="X42" s="196">
        <f>'[9]17-ChiNSDP2018'!J44</f>
        <v>57317.995333999999</v>
      </c>
      <c r="Y42" s="196">
        <f>'[4]17-ChiNSDP2018'!J44</f>
        <v>49402</v>
      </c>
      <c r="Z42" s="196">
        <f>'[6]17-ChiNSDP2018'!J44</f>
        <v>55308.5</v>
      </c>
      <c r="AA42" s="196">
        <f>'[17]17-ChiNSDP2018'!J44</f>
        <v>35951</v>
      </c>
      <c r="AB42" s="158">
        <f t="shared" si="23"/>
        <v>897711.03397666663</v>
      </c>
      <c r="AC42" s="226">
        <f t="shared" si="5"/>
        <v>6057</v>
      </c>
      <c r="AD42" s="196">
        <v>74049</v>
      </c>
      <c r="AE42" s="196">
        <v>74000</v>
      </c>
      <c r="AF42" s="196">
        <v>58423</v>
      </c>
      <c r="AG42" s="196">
        <v>59540.322999999997</v>
      </c>
      <c r="AJ42" s="196">
        <v>78265</v>
      </c>
      <c r="AK42" s="196">
        <v>61900</v>
      </c>
      <c r="AL42" s="196">
        <v>53773</v>
      </c>
      <c r="AM42" s="196">
        <v>54150</v>
      </c>
      <c r="AN42" s="196">
        <f>24659+42871</f>
        <v>67530</v>
      </c>
      <c r="AO42" s="196">
        <f>21000+61000</f>
        <v>82000</v>
      </c>
      <c r="AP42" s="196">
        <v>51186</v>
      </c>
      <c r="AQ42" s="196">
        <v>55000</v>
      </c>
    </row>
    <row r="43" spans="1:45" ht="15.75">
      <c r="A43" s="83">
        <v>11</v>
      </c>
      <c r="B43" s="64" t="s">
        <v>514</v>
      </c>
      <c r="C43" s="158" t="e">
        <f t="shared" si="3"/>
        <v>#REF!</v>
      </c>
      <c r="D43" s="158" t="e">
        <f>'49-CK NSNN'!#REF!</f>
        <v>#REF!</v>
      </c>
      <c r="E43" s="158" t="e">
        <f>'49-CK NSNN'!#REF!</f>
        <v>#REF!</v>
      </c>
      <c r="F43" s="158">
        <f t="shared" si="16"/>
        <v>323147.00800000003</v>
      </c>
      <c r="G43" s="166">
        <f>'23-DG chi NST theoLV'!E43</f>
        <v>43356</v>
      </c>
      <c r="H43" s="158">
        <f>AB43-H72</f>
        <v>279791.00800000003</v>
      </c>
      <c r="I43" s="173" t="e">
        <f t="shared" si="7"/>
        <v>#REF!</v>
      </c>
      <c r="J43" s="173" t="e">
        <f t="shared" si="8"/>
        <v>#REF!</v>
      </c>
      <c r="K43" s="173" t="e">
        <f t="shared" si="9"/>
        <v>#REF!</v>
      </c>
      <c r="M43" s="196">
        <f>'[10]17-ChiNSDP2018'!J45</f>
        <v>26056.92</v>
      </c>
      <c r="N43" s="241">
        <f>'[11]17-ChiNSDP2018'!J45</f>
        <v>37667.46</v>
      </c>
      <c r="O43" s="158">
        <f>'[12]17-ChiNSDP2018'!J45</f>
        <v>23192.498</v>
      </c>
      <c r="P43" s="196">
        <f>'[3]17-ChiNSDP2018'!J45</f>
        <v>24735.754000000001</v>
      </c>
      <c r="Q43" s="196">
        <f>'[5]17-ChiNSDP2018'!J45</f>
        <v>53969.202000000005</v>
      </c>
      <c r="R43" s="241">
        <f>'[8]17-ChiNSDP2018'!J45</f>
        <v>14311.5</v>
      </c>
      <c r="S43" s="196">
        <f>'[13]17-ChiNSDP2018'!J45</f>
        <v>50202.127999999997</v>
      </c>
      <c r="T43" s="196">
        <f>'[14]17-ChiNSDP2018'!J45</f>
        <v>33508.811000000002</v>
      </c>
      <c r="U43" s="196">
        <f>'[7]17-ChiNSDP2018'!J45</f>
        <v>12458</v>
      </c>
      <c r="V43" s="196">
        <f>'[15]17-ChiNSDP2018'!J45</f>
        <v>6704.5</v>
      </c>
      <c r="W43" s="196">
        <f>'[16]17-ChiNSDP2018'!J45</f>
        <v>11809.117</v>
      </c>
      <c r="X43" s="196">
        <f>'[9]17-ChiNSDP2018'!J45</f>
        <v>7130.3600000000006</v>
      </c>
      <c r="Y43" s="196">
        <f>'[4]17-ChiNSDP2018'!J45</f>
        <v>22638.95</v>
      </c>
      <c r="Z43" s="196">
        <f>'[6]17-ChiNSDP2018'!J45</f>
        <v>16957.808000000001</v>
      </c>
      <c r="AA43" s="196">
        <f>'[17]17-ChiNSDP2018'!J45</f>
        <v>5358</v>
      </c>
      <c r="AB43" s="158">
        <f t="shared" si="23"/>
        <v>346701.00800000003</v>
      </c>
      <c r="AC43" s="226">
        <f t="shared" si="5"/>
        <v>66910</v>
      </c>
      <c r="AD43" s="196">
        <v>27147</v>
      </c>
      <c r="AE43" s="196">
        <v>37000</v>
      </c>
      <c r="AF43" s="196">
        <v>25663</v>
      </c>
      <c r="AG43" s="196">
        <v>24474.853999999999</v>
      </c>
      <c r="AJ43" s="196">
        <v>50591</v>
      </c>
      <c r="AK43" s="196">
        <v>32920</v>
      </c>
      <c r="AL43" s="196">
        <v>9408</v>
      </c>
      <c r="AM43" s="196">
        <v>5339</v>
      </c>
      <c r="AN43" s="196">
        <v>13227</v>
      </c>
      <c r="AO43" s="196">
        <v>6500</v>
      </c>
      <c r="AP43" s="196">
        <v>24495</v>
      </c>
      <c r="AQ43" s="196">
        <v>20000</v>
      </c>
    </row>
    <row r="44" spans="1:45" ht="15.75">
      <c r="A44" s="83">
        <v>12</v>
      </c>
      <c r="B44" s="64" t="s">
        <v>898</v>
      </c>
      <c r="C44" s="158" t="e">
        <f t="shared" si="3"/>
        <v>#REF!</v>
      </c>
      <c r="D44" s="158" t="e">
        <f>'49-CK NSNN'!#REF!</f>
        <v>#REF!</v>
      </c>
      <c r="E44" s="158" t="e">
        <f>'49-CK NSNN'!#REF!</f>
        <v>#REF!</v>
      </c>
      <c r="F44" s="158">
        <f t="shared" si="16"/>
        <v>143676.03</v>
      </c>
      <c r="G44" s="166">
        <f>'23-DG chi NST theoLV'!E44</f>
        <v>63362.03</v>
      </c>
      <c r="H44" s="158">
        <f t="shared" si="25"/>
        <v>80314</v>
      </c>
      <c r="I44" s="173" t="e">
        <f t="shared" si="7"/>
        <v>#REF!</v>
      </c>
      <c r="J44" s="173" t="e">
        <f t="shared" si="8"/>
        <v>#REF!</v>
      </c>
      <c r="K44" s="173" t="e">
        <f t="shared" si="9"/>
        <v>#REF!</v>
      </c>
      <c r="M44" s="196">
        <f>'[10]17-ChiNSDP2018'!J46</f>
        <v>5558</v>
      </c>
      <c r="N44" s="241">
        <f>'[11]17-ChiNSDP2018'!J46</f>
        <v>5623</v>
      </c>
      <c r="O44" s="158">
        <f>'[12]17-ChiNSDP2018'!J46</f>
        <v>5438</v>
      </c>
      <c r="P44" s="196">
        <f>'[3]17-ChiNSDP2018'!J46</f>
        <v>4011.5</v>
      </c>
      <c r="Q44" s="196">
        <f>'[5]17-ChiNSDP2018'!J46</f>
        <v>8115</v>
      </c>
      <c r="R44" s="241">
        <f>'[8]17-ChiNSDP2018'!J46</f>
        <v>3095.333333333333</v>
      </c>
      <c r="S44" s="196">
        <f>'[13]17-ChiNSDP2018'!J46</f>
        <v>4533.6666666666661</v>
      </c>
      <c r="T44" s="196">
        <f>'[14]17-ChiNSDP2018'!J46</f>
        <v>4333</v>
      </c>
      <c r="U44" s="196">
        <f>'[7]17-ChiNSDP2018'!J46</f>
        <v>5285</v>
      </c>
      <c r="V44" s="196">
        <f>'[15]17-ChiNSDP2018'!J46</f>
        <v>7115</v>
      </c>
      <c r="W44" s="196">
        <f>'[16]17-ChiNSDP2018'!J46</f>
        <v>5857</v>
      </c>
      <c r="X44" s="196">
        <f>'[9]17-ChiNSDP2018'!J46</f>
        <v>6091.5</v>
      </c>
      <c r="Y44" s="196">
        <f>'[4]17-ChiNSDP2018'!J46</f>
        <v>3174</v>
      </c>
      <c r="Z44" s="196">
        <f>'[6]17-ChiNSDP2018'!J46</f>
        <v>8166</v>
      </c>
      <c r="AA44" s="196">
        <f>'[17]17-ChiNSDP2018'!J46</f>
        <v>3918</v>
      </c>
      <c r="AB44" s="158">
        <f t="shared" si="23"/>
        <v>80314</v>
      </c>
      <c r="AC44" s="226">
        <f t="shared" si="5"/>
        <v>0</v>
      </c>
      <c r="AD44" s="196">
        <v>1507</v>
      </c>
      <c r="AE44" s="196">
        <v>1571</v>
      </c>
      <c r="AF44" s="196">
        <f>3786+3000</f>
        <v>6786</v>
      </c>
      <c r="AG44" s="196">
        <v>3134.6669999999999</v>
      </c>
      <c r="AJ44" s="196">
        <v>1915</v>
      </c>
      <c r="AK44" s="196">
        <v>1253</v>
      </c>
      <c r="AL44" s="196">
        <v>2740</v>
      </c>
      <c r="AM44" s="196">
        <v>4309</v>
      </c>
      <c r="AN44" s="196">
        <v>4700</v>
      </c>
      <c r="AO44" s="196">
        <v>2600</v>
      </c>
      <c r="AP44" s="196">
        <v>1285</v>
      </c>
      <c r="AQ44" s="196">
        <v>5396</v>
      </c>
    </row>
    <row r="45" spans="1:45" s="314" customFormat="1" ht="28.5">
      <c r="A45" s="68" t="s">
        <v>73</v>
      </c>
      <c r="B45" s="69" t="s">
        <v>406</v>
      </c>
      <c r="C45" s="168" t="e">
        <f t="shared" si="3"/>
        <v>#REF!</v>
      </c>
      <c r="D45" s="168" t="e">
        <f>'49-CK NSNN'!#REF!</f>
        <v>#REF!</v>
      </c>
      <c r="E45" s="168" t="e">
        <f>'49-CK NSNN'!#REF!</f>
        <v>#REF!</v>
      </c>
      <c r="F45" s="168">
        <f t="shared" si="16"/>
        <v>5783</v>
      </c>
      <c r="G45" s="168">
        <f>'18-Boi chi'!C64</f>
        <v>5783</v>
      </c>
      <c r="H45" s="168"/>
      <c r="I45" s="169" t="e">
        <f t="shared" si="7"/>
        <v>#REF!</v>
      </c>
      <c r="J45" s="169" t="e">
        <f t="shared" si="8"/>
        <v>#REF!</v>
      </c>
      <c r="K45" s="169"/>
      <c r="M45" s="226"/>
      <c r="N45" s="226"/>
      <c r="O45" s="226"/>
      <c r="P45" s="226"/>
      <c r="Q45" s="226"/>
      <c r="R45" s="226"/>
      <c r="S45" s="226"/>
      <c r="T45" s="226"/>
      <c r="U45" s="226"/>
      <c r="V45" s="226"/>
      <c r="W45" s="226"/>
      <c r="X45" s="226"/>
      <c r="Y45" s="226"/>
      <c r="Z45" s="226"/>
      <c r="AA45" s="226"/>
      <c r="AB45" s="158">
        <f t="shared" si="23"/>
        <v>0</v>
      </c>
      <c r="AC45" s="226">
        <f t="shared" si="5"/>
        <v>0</v>
      </c>
      <c r="AD45" s="226"/>
      <c r="AE45" s="226"/>
      <c r="AF45" s="226"/>
      <c r="AG45" s="226"/>
      <c r="AH45" s="226"/>
      <c r="AI45" s="226"/>
      <c r="AJ45" s="226"/>
      <c r="AK45" s="226"/>
      <c r="AL45" s="226"/>
      <c r="AM45" s="226"/>
      <c r="AN45" s="226"/>
      <c r="AO45" s="226"/>
      <c r="AP45" s="226"/>
      <c r="AQ45" s="226"/>
      <c r="AR45" s="226"/>
      <c r="AS45" s="226"/>
    </row>
    <row r="46" spans="1:45" s="314" customFormat="1" ht="15.75">
      <c r="A46" s="68" t="s">
        <v>77</v>
      </c>
      <c r="B46" s="69" t="s">
        <v>407</v>
      </c>
      <c r="C46" s="168" t="e">
        <f t="shared" si="3"/>
        <v>#REF!</v>
      </c>
      <c r="D46" s="168" t="e">
        <f>'49-CK NSNN'!#REF!</f>
        <v>#REF!</v>
      </c>
      <c r="E46" s="168" t="e">
        <f>'49-CK NSNN'!#REF!</f>
        <v>#REF!</v>
      </c>
      <c r="F46" s="168">
        <f t="shared" si="16"/>
        <v>1260</v>
      </c>
      <c r="G46" s="168">
        <v>1260</v>
      </c>
      <c r="H46" s="168"/>
      <c r="I46" s="169" t="e">
        <f t="shared" si="7"/>
        <v>#REF!</v>
      </c>
      <c r="J46" s="169" t="e">
        <f t="shared" si="8"/>
        <v>#REF!</v>
      </c>
      <c r="K46" s="169"/>
      <c r="M46" s="226"/>
      <c r="N46" s="226"/>
      <c r="O46" s="226"/>
      <c r="P46" s="226"/>
      <c r="Q46" s="226"/>
      <c r="R46" s="226"/>
      <c r="S46" s="226"/>
      <c r="T46" s="226"/>
      <c r="U46" s="226"/>
      <c r="V46" s="226"/>
      <c r="W46" s="226"/>
      <c r="X46" s="226"/>
      <c r="Y46" s="226"/>
      <c r="Z46" s="226"/>
      <c r="AA46" s="226"/>
      <c r="AB46" s="158">
        <f t="shared" si="23"/>
        <v>0</v>
      </c>
      <c r="AC46" s="226">
        <f t="shared" si="5"/>
        <v>0</v>
      </c>
      <c r="AD46" s="226"/>
      <c r="AE46" s="226"/>
      <c r="AF46" s="226"/>
      <c r="AG46" s="226"/>
      <c r="AH46" s="226"/>
      <c r="AI46" s="226"/>
      <c r="AJ46" s="226"/>
      <c r="AK46" s="226"/>
      <c r="AL46" s="226"/>
      <c r="AM46" s="226"/>
      <c r="AN46" s="226"/>
      <c r="AO46" s="226"/>
      <c r="AP46" s="226"/>
      <c r="AQ46" s="226"/>
      <c r="AR46" s="226"/>
      <c r="AS46" s="226"/>
    </row>
    <row r="47" spans="1:45" s="314" customFormat="1" ht="15.75">
      <c r="A47" s="68" t="s">
        <v>113</v>
      </c>
      <c r="B47" s="69" t="s">
        <v>241</v>
      </c>
      <c r="C47" s="168" t="e">
        <f t="shared" si="3"/>
        <v>#REF!</v>
      </c>
      <c r="D47" s="168" t="e">
        <f>'49-CK NSNN'!#REF!</f>
        <v>#REF!</v>
      </c>
      <c r="E47" s="168" t="e">
        <f>'49-CK NSNN'!#REF!</f>
        <v>#REF!</v>
      </c>
      <c r="F47" s="168">
        <f t="shared" si="16"/>
        <v>0</v>
      </c>
      <c r="G47" s="168"/>
      <c r="H47" s="168"/>
      <c r="I47" s="169" t="e">
        <f t="shared" si="7"/>
        <v>#REF!</v>
      </c>
      <c r="J47" s="169" t="e">
        <f t="shared" si="8"/>
        <v>#REF!</v>
      </c>
      <c r="K47" s="169" t="e">
        <f t="shared" si="9"/>
        <v>#REF!</v>
      </c>
      <c r="M47" s="226"/>
      <c r="N47" s="226"/>
      <c r="O47" s="226"/>
      <c r="P47" s="226"/>
      <c r="Q47" s="226"/>
      <c r="R47" s="226"/>
      <c r="S47" s="226"/>
      <c r="T47" s="226"/>
      <c r="U47" s="226"/>
      <c r="V47" s="226"/>
      <c r="W47" s="226"/>
      <c r="X47" s="226"/>
      <c r="Y47" s="226"/>
      <c r="Z47" s="226"/>
      <c r="AA47" s="226"/>
      <c r="AB47" s="158">
        <f t="shared" si="23"/>
        <v>0</v>
      </c>
      <c r="AC47" s="226">
        <f t="shared" si="5"/>
        <v>0</v>
      </c>
      <c r="AD47" s="226"/>
      <c r="AE47" s="226"/>
      <c r="AF47" s="226"/>
      <c r="AG47" s="226"/>
      <c r="AH47" s="226"/>
      <c r="AI47" s="226"/>
      <c r="AJ47" s="226"/>
      <c r="AK47" s="226"/>
      <c r="AL47" s="226"/>
      <c r="AM47" s="226"/>
      <c r="AN47" s="226"/>
      <c r="AO47" s="226"/>
      <c r="AP47" s="226"/>
      <c r="AQ47" s="226"/>
      <c r="AR47" s="226"/>
      <c r="AS47" s="226"/>
    </row>
    <row r="48" spans="1:45" s="314" customFormat="1" ht="15.75">
      <c r="A48" s="68" t="s">
        <v>396</v>
      </c>
      <c r="B48" s="69" t="s">
        <v>98</v>
      </c>
      <c r="C48" s="168" t="e">
        <f t="shared" si="3"/>
        <v>#REF!</v>
      </c>
      <c r="D48" s="168" t="e">
        <f>'49-CK NSNN'!#REF!</f>
        <v>#REF!</v>
      </c>
      <c r="E48" s="168" t="e">
        <f>'49-CK NSNN'!#REF!</f>
        <v>#REF!</v>
      </c>
      <c r="F48" s="168">
        <f t="shared" si="16"/>
        <v>0</v>
      </c>
      <c r="G48" s="168"/>
      <c r="H48" s="168"/>
      <c r="I48" s="169"/>
      <c r="J48" s="169"/>
      <c r="K48" s="169"/>
      <c r="M48" s="226"/>
      <c r="N48" s="226"/>
      <c r="O48" s="226"/>
      <c r="P48" s="226"/>
      <c r="Q48" s="226"/>
      <c r="R48" s="226"/>
      <c r="S48" s="226"/>
      <c r="T48" s="226"/>
      <c r="U48" s="226"/>
      <c r="V48" s="226"/>
      <c r="W48" s="226"/>
      <c r="X48" s="226"/>
      <c r="Y48" s="226"/>
      <c r="Z48" s="226"/>
      <c r="AA48" s="226"/>
      <c r="AB48" s="158">
        <f t="shared" si="23"/>
        <v>0</v>
      </c>
      <c r="AC48" s="226">
        <f t="shared" si="5"/>
        <v>0</v>
      </c>
      <c r="AD48" s="226"/>
      <c r="AE48" s="226"/>
      <c r="AF48" s="226"/>
      <c r="AG48" s="226"/>
      <c r="AH48" s="226"/>
      <c r="AI48" s="226"/>
      <c r="AJ48" s="226"/>
      <c r="AK48" s="226"/>
      <c r="AL48" s="226"/>
      <c r="AM48" s="226"/>
      <c r="AN48" s="226"/>
      <c r="AO48" s="226"/>
      <c r="AP48" s="226"/>
      <c r="AQ48" s="226"/>
      <c r="AR48" s="226"/>
      <c r="AS48" s="226"/>
    </row>
    <row r="49" spans="1:45" s="314" customFormat="1" ht="31.5">
      <c r="A49" s="74" t="s">
        <v>16</v>
      </c>
      <c r="B49" s="313" t="s">
        <v>398</v>
      </c>
      <c r="C49" s="156" t="e">
        <f t="shared" ref="C49:H49" si="28">+C50+C61</f>
        <v>#REF!</v>
      </c>
      <c r="D49" s="156" t="e">
        <f t="shared" si="28"/>
        <v>#REF!</v>
      </c>
      <c r="E49" s="156" t="e">
        <f t="shared" si="28"/>
        <v>#REF!</v>
      </c>
      <c r="F49" s="156">
        <f t="shared" si="28"/>
        <v>459616</v>
      </c>
      <c r="G49" s="156">
        <f>+G50+G61</f>
        <v>226133</v>
      </c>
      <c r="H49" s="156">
        <f t="shared" si="28"/>
        <v>233483</v>
      </c>
      <c r="I49" s="169" t="e">
        <f t="shared" si="7"/>
        <v>#REF!</v>
      </c>
      <c r="J49" s="169" t="e">
        <f t="shared" si="8"/>
        <v>#REF!</v>
      </c>
      <c r="K49" s="169" t="e">
        <f t="shared" si="9"/>
        <v>#REF!</v>
      </c>
      <c r="M49" s="156">
        <f>+M50+M61</f>
        <v>7976.3099419999999</v>
      </c>
      <c r="N49" s="156">
        <f t="shared" ref="N49:AA49" si="29">+N50+N61</f>
        <v>17140</v>
      </c>
      <c r="O49" s="156">
        <f t="shared" si="29"/>
        <v>3076.847953</v>
      </c>
      <c r="P49" s="156">
        <f t="shared" si="29"/>
        <v>6261.8479530000004</v>
      </c>
      <c r="Q49" s="156">
        <f t="shared" si="29"/>
        <v>10097.432749</v>
      </c>
      <c r="R49" s="156">
        <f t="shared" si="29"/>
        <v>6771</v>
      </c>
      <c r="S49" s="156">
        <f t="shared" si="29"/>
        <v>9473.4327489999996</v>
      </c>
      <c r="T49" s="156">
        <f t="shared" si="29"/>
        <v>6850.8479530000004</v>
      </c>
      <c r="U49" s="156">
        <f t="shared" si="29"/>
        <v>8727</v>
      </c>
      <c r="V49" s="156">
        <f t="shared" si="29"/>
        <v>11468</v>
      </c>
      <c r="W49" s="156">
        <f t="shared" si="29"/>
        <v>5882.607</v>
      </c>
      <c r="X49" s="156">
        <f t="shared" si="29"/>
        <v>10517.062544</v>
      </c>
      <c r="Y49" s="156">
        <f t="shared" si="29"/>
        <v>6249.140351</v>
      </c>
      <c r="Z49" s="156">
        <f t="shared" si="29"/>
        <v>15172</v>
      </c>
      <c r="AA49" s="156">
        <f t="shared" si="29"/>
        <v>6867</v>
      </c>
      <c r="AB49" s="158">
        <f t="shared" si="23"/>
        <v>132530.529194</v>
      </c>
      <c r="AC49" s="226">
        <f t="shared" si="5"/>
        <v>-100952.470806</v>
      </c>
      <c r="AD49" s="156">
        <f>+AD50+AD61</f>
        <v>6384</v>
      </c>
      <c r="AE49" s="156">
        <f t="shared" ref="AE49:AR49" si="30">+AE50+AE61</f>
        <v>17140</v>
      </c>
      <c r="AF49" s="156">
        <f t="shared" si="30"/>
        <v>3031</v>
      </c>
      <c r="AG49" s="156">
        <f t="shared" si="30"/>
        <v>5166</v>
      </c>
      <c r="AH49" s="156">
        <f t="shared" si="30"/>
        <v>0</v>
      </c>
      <c r="AI49" s="156">
        <f t="shared" si="30"/>
        <v>0</v>
      </c>
      <c r="AJ49" s="156">
        <f t="shared" si="30"/>
        <v>16652</v>
      </c>
      <c r="AK49" s="156">
        <f t="shared" si="30"/>
        <v>0</v>
      </c>
      <c r="AL49" s="156">
        <f t="shared" si="30"/>
        <v>0</v>
      </c>
      <c r="AM49" s="156">
        <f t="shared" si="30"/>
        <v>0</v>
      </c>
      <c r="AN49" s="156">
        <f t="shared" si="30"/>
        <v>0</v>
      </c>
      <c r="AO49" s="156">
        <f t="shared" si="30"/>
        <v>0</v>
      </c>
      <c r="AP49" s="156">
        <f t="shared" si="30"/>
        <v>0</v>
      </c>
      <c r="AQ49" s="156">
        <f t="shared" si="30"/>
        <v>0</v>
      </c>
      <c r="AR49" s="156">
        <f t="shared" si="30"/>
        <v>0</v>
      </c>
      <c r="AS49" s="226"/>
    </row>
    <row r="50" spans="1:45" ht="15.75">
      <c r="A50" s="74" t="s">
        <v>83</v>
      </c>
      <c r="B50" s="313" t="s">
        <v>243</v>
      </c>
      <c r="C50" s="156" t="e">
        <f>C51+C54+C57</f>
        <v>#REF!</v>
      </c>
      <c r="D50" s="156" t="e">
        <f t="shared" ref="D50:H50" si="31">D51+D54+D57</f>
        <v>#REF!</v>
      </c>
      <c r="E50" s="156" t="e">
        <f t="shared" si="31"/>
        <v>#REF!</v>
      </c>
      <c r="F50" s="156">
        <f t="shared" si="31"/>
        <v>203194</v>
      </c>
      <c r="G50" s="156">
        <f t="shared" si="31"/>
        <v>42678</v>
      </c>
      <c r="H50" s="156">
        <f t="shared" si="31"/>
        <v>160516</v>
      </c>
      <c r="I50" s="169" t="e">
        <f t="shared" si="7"/>
        <v>#REF!</v>
      </c>
      <c r="J50" s="169" t="e">
        <f t="shared" si="8"/>
        <v>#REF!</v>
      </c>
      <c r="K50" s="169" t="e">
        <f t="shared" si="9"/>
        <v>#REF!</v>
      </c>
      <c r="M50" s="156">
        <f t="shared" ref="M50:AA50" si="32">M51+M54</f>
        <v>7976.3099419999999</v>
      </c>
      <c r="N50" s="156">
        <v>17140</v>
      </c>
      <c r="O50" s="156">
        <f t="shared" si="32"/>
        <v>3076.847953</v>
      </c>
      <c r="P50" s="156">
        <f t="shared" si="32"/>
        <v>6261.8479530000004</v>
      </c>
      <c r="Q50" s="156">
        <f t="shared" si="32"/>
        <v>10097.432749</v>
      </c>
      <c r="R50" s="156">
        <f t="shared" si="32"/>
        <v>6771</v>
      </c>
      <c r="S50" s="156">
        <f t="shared" si="32"/>
        <v>9473.4327489999996</v>
      </c>
      <c r="T50" s="156">
        <f t="shared" si="32"/>
        <v>6850.8479530000004</v>
      </c>
      <c r="U50" s="156">
        <f t="shared" si="32"/>
        <v>8727</v>
      </c>
      <c r="V50" s="156">
        <f t="shared" si="32"/>
        <v>11468</v>
      </c>
      <c r="W50" s="156">
        <f t="shared" si="32"/>
        <v>5882.607</v>
      </c>
      <c r="X50" s="156">
        <f t="shared" si="32"/>
        <v>10517.062544</v>
      </c>
      <c r="Y50" s="156">
        <f t="shared" si="32"/>
        <v>6249.140351</v>
      </c>
      <c r="Z50" s="156">
        <f t="shared" si="32"/>
        <v>15172</v>
      </c>
      <c r="AA50" s="156">
        <f t="shared" si="32"/>
        <v>6867</v>
      </c>
      <c r="AB50" s="158">
        <f t="shared" si="23"/>
        <v>132530.529194</v>
      </c>
      <c r="AC50" s="226">
        <f t="shared" si="5"/>
        <v>-27985.470805999998</v>
      </c>
      <c r="AD50" s="156">
        <f t="shared" ref="AD50" si="33">AD51+AD54</f>
        <v>6384</v>
      </c>
      <c r="AE50" s="156">
        <v>17140</v>
      </c>
      <c r="AF50" s="156">
        <f t="shared" ref="AF50:AR50" si="34">AF51+AF54</f>
        <v>3031</v>
      </c>
      <c r="AG50" s="156">
        <f t="shared" si="34"/>
        <v>5166</v>
      </c>
      <c r="AH50" s="156">
        <f t="shared" si="34"/>
        <v>0</v>
      </c>
      <c r="AI50" s="156">
        <f t="shared" si="34"/>
        <v>0</v>
      </c>
      <c r="AJ50" s="156">
        <f t="shared" si="34"/>
        <v>16652</v>
      </c>
      <c r="AK50" s="156">
        <f t="shared" si="34"/>
        <v>0</v>
      </c>
      <c r="AL50" s="156">
        <f t="shared" si="34"/>
        <v>0</v>
      </c>
      <c r="AM50" s="156">
        <f t="shared" si="34"/>
        <v>0</v>
      </c>
      <c r="AN50" s="156">
        <f t="shared" si="34"/>
        <v>0</v>
      </c>
      <c r="AO50" s="156">
        <f t="shared" si="34"/>
        <v>0</v>
      </c>
      <c r="AP50" s="156">
        <f t="shared" si="34"/>
        <v>0</v>
      </c>
      <c r="AQ50" s="156">
        <f t="shared" si="34"/>
        <v>0</v>
      </c>
      <c r="AR50" s="156">
        <f t="shared" si="34"/>
        <v>0</v>
      </c>
    </row>
    <row r="51" spans="1:45" ht="30">
      <c r="A51" s="76">
        <v>1</v>
      </c>
      <c r="B51" s="60" t="s">
        <v>900</v>
      </c>
      <c r="C51" s="158" t="e">
        <f>C52+C53</f>
        <v>#REF!</v>
      </c>
      <c r="D51" s="158" t="e">
        <f t="shared" ref="D51:E51" si="35">D52+D53</f>
        <v>#REF!</v>
      </c>
      <c r="E51" s="158" t="e">
        <f t="shared" si="35"/>
        <v>#REF!</v>
      </c>
      <c r="F51" s="158">
        <f t="shared" si="16"/>
        <v>172830</v>
      </c>
      <c r="G51" s="158">
        <f>+G52+G53</f>
        <v>19510</v>
      </c>
      <c r="H51" s="158">
        <f>+H52+H53</f>
        <v>153320</v>
      </c>
      <c r="I51" s="173" t="e">
        <f t="shared" si="7"/>
        <v>#REF!</v>
      </c>
      <c r="J51" s="173" t="e">
        <f t="shared" si="8"/>
        <v>#REF!</v>
      </c>
      <c r="K51" s="173" t="e">
        <f t="shared" si="9"/>
        <v>#REF!</v>
      </c>
      <c r="M51" s="196">
        <f>+M52+M53</f>
        <v>7919</v>
      </c>
      <c r="N51" s="196">
        <f t="shared" ref="N51:Y51" si="36">+N52+N53</f>
        <v>10275</v>
      </c>
      <c r="O51" s="196">
        <f t="shared" si="36"/>
        <v>3031</v>
      </c>
      <c r="P51" s="196">
        <f t="shared" si="36"/>
        <v>6216</v>
      </c>
      <c r="Q51" s="196">
        <f t="shared" si="36"/>
        <v>10047</v>
      </c>
      <c r="R51" s="196">
        <f t="shared" si="36"/>
        <v>6711</v>
      </c>
      <c r="S51" s="196">
        <f t="shared" si="36"/>
        <v>9423</v>
      </c>
      <c r="T51" s="196">
        <f t="shared" si="36"/>
        <v>6805</v>
      </c>
      <c r="U51" s="196">
        <f t="shared" si="36"/>
        <v>8245</v>
      </c>
      <c r="V51" s="196">
        <f t="shared" si="36"/>
        <v>9995</v>
      </c>
      <c r="W51" s="196">
        <f t="shared" si="36"/>
        <v>5621</v>
      </c>
      <c r="X51" s="196">
        <f t="shared" si="36"/>
        <v>9613</v>
      </c>
      <c r="Y51" s="196">
        <f t="shared" si="36"/>
        <v>6201</v>
      </c>
      <c r="Z51" s="196">
        <f t="shared" ref="Z51" si="37">+Z52+Z53</f>
        <v>12423</v>
      </c>
      <c r="AA51" s="196">
        <f t="shared" ref="AA51" si="38">+AA52+AA53</f>
        <v>6365</v>
      </c>
      <c r="AB51" s="158">
        <f t="shared" si="23"/>
        <v>118890</v>
      </c>
      <c r="AC51" s="226">
        <f t="shared" si="5"/>
        <v>-34430</v>
      </c>
      <c r="AD51" s="196">
        <f>+AD52+AD53</f>
        <v>6384</v>
      </c>
      <c r="AE51" s="196">
        <f t="shared" ref="AE51:AR51" si="39">+AE52+AE53</f>
        <v>0</v>
      </c>
      <c r="AF51" s="196">
        <f t="shared" si="39"/>
        <v>3031</v>
      </c>
      <c r="AG51" s="196">
        <f t="shared" si="39"/>
        <v>5166</v>
      </c>
      <c r="AH51" s="196">
        <f t="shared" si="39"/>
        <v>0</v>
      </c>
      <c r="AI51" s="196">
        <f t="shared" si="39"/>
        <v>0</v>
      </c>
      <c r="AJ51" s="196">
        <f t="shared" si="39"/>
        <v>16652</v>
      </c>
      <c r="AK51" s="196">
        <f t="shared" si="39"/>
        <v>0</v>
      </c>
      <c r="AL51" s="196">
        <f t="shared" si="39"/>
        <v>0</v>
      </c>
      <c r="AM51" s="196">
        <f t="shared" si="39"/>
        <v>0</v>
      </c>
      <c r="AN51" s="196">
        <f t="shared" si="39"/>
        <v>0</v>
      </c>
      <c r="AO51" s="196">
        <f t="shared" si="39"/>
        <v>0</v>
      </c>
      <c r="AP51" s="196">
        <f t="shared" si="39"/>
        <v>0</v>
      </c>
      <c r="AQ51" s="196">
        <f t="shared" si="39"/>
        <v>0</v>
      </c>
      <c r="AR51" s="196">
        <f t="shared" si="39"/>
        <v>0</v>
      </c>
    </row>
    <row r="52" spans="1:45" ht="15.75">
      <c r="A52" s="76"/>
      <c r="B52" s="149" t="s">
        <v>909</v>
      </c>
      <c r="C52" s="158" t="e">
        <f t="shared" si="3"/>
        <v>#REF!</v>
      </c>
      <c r="D52" s="158" t="e">
        <f>'49-CK NSNN'!#REF!</f>
        <v>#REF!</v>
      </c>
      <c r="E52" s="158" t="e">
        <f>'49-CK NSNN'!#REF!</f>
        <v>#REF!</v>
      </c>
      <c r="F52" s="158">
        <f t="shared" si="16"/>
        <v>133430</v>
      </c>
      <c r="G52" s="158"/>
      <c r="H52" s="158">
        <v>133430</v>
      </c>
      <c r="I52" s="173" t="e">
        <f t="shared" si="7"/>
        <v>#REF!</v>
      </c>
      <c r="J52" s="173"/>
      <c r="K52" s="173" t="e">
        <f t="shared" si="9"/>
        <v>#REF!</v>
      </c>
      <c r="M52" s="196">
        <f>'[10]17-ChiNSDP2018'!J54</f>
        <v>6384</v>
      </c>
      <c r="N52" s="196">
        <f>'[11]17-ChiNSDP2018'!J54</f>
        <v>8610</v>
      </c>
      <c r="O52" s="158">
        <f>'[12]17-ChiNSDP2018'!J54</f>
        <v>2226</v>
      </c>
      <c r="P52" s="196">
        <f>'[3]17-ChiNSDP2018'!J54</f>
        <v>5166</v>
      </c>
      <c r="Q52" s="196">
        <f>'[5]17-ChiNSDP2018'!J54</f>
        <v>8022</v>
      </c>
      <c r="R52" s="196">
        <f>'[8]17-ChiNSDP2018'!J54</f>
        <v>5166</v>
      </c>
      <c r="S52" s="196">
        <f>'[13]17-ChiNSDP2018'!J54</f>
        <v>7728</v>
      </c>
      <c r="T52" s="196">
        <f>'[14]17-ChiNSDP2018'!J54</f>
        <v>5670</v>
      </c>
      <c r="U52" s="196">
        <f>'[7]17-ChiNSDP2018'!J54</f>
        <v>6720</v>
      </c>
      <c r="V52" s="196">
        <f>'[15]17-ChiNSDP2018'!J54</f>
        <v>8820</v>
      </c>
      <c r="W52" s="196">
        <f>'[16]17-ChiNSDP2018'!J54</f>
        <v>4746</v>
      </c>
      <c r="X52" s="196">
        <f>'[9]17-ChiNSDP2018'!J54</f>
        <v>8448</v>
      </c>
      <c r="Y52" s="196">
        <f>'[4]17-ChiNSDP2018'!J54</f>
        <v>4956</v>
      </c>
      <c r="Z52" s="196">
        <f>'[6]17-ChiNSDP2018'!J54</f>
        <v>10878</v>
      </c>
      <c r="AA52" s="196">
        <f>'[17]17-ChiNSDP2018'!J54</f>
        <v>5460</v>
      </c>
      <c r="AB52" s="158">
        <f t="shared" si="23"/>
        <v>99000</v>
      </c>
      <c r="AC52" s="226">
        <f t="shared" si="5"/>
        <v>-34430</v>
      </c>
      <c r="AD52" s="196">
        <v>6384</v>
      </c>
      <c r="AF52" s="196">
        <f>3031-AF53</f>
        <v>3031</v>
      </c>
      <c r="AG52" s="196">
        <v>5166</v>
      </c>
      <c r="AJ52" s="196">
        <v>14858</v>
      </c>
    </row>
    <row r="53" spans="1:45" ht="15.75">
      <c r="A53" s="76"/>
      <c r="B53" s="149" t="s">
        <v>910</v>
      </c>
      <c r="C53" s="158" t="e">
        <f t="shared" si="3"/>
        <v>#REF!</v>
      </c>
      <c r="D53" s="158" t="e">
        <f>'49-CK NSNN'!#REF!</f>
        <v>#REF!</v>
      </c>
      <c r="E53" s="158" t="e">
        <f>'49-CK NSNN'!#REF!</f>
        <v>#REF!</v>
      </c>
      <c r="F53" s="158">
        <f t="shared" si="16"/>
        <v>39400</v>
      </c>
      <c r="G53" s="158">
        <v>19510</v>
      </c>
      <c r="H53" s="158">
        <f>19890</f>
        <v>19890</v>
      </c>
      <c r="I53" s="173" t="e">
        <f t="shared" si="7"/>
        <v>#REF!</v>
      </c>
      <c r="J53" s="173" t="e">
        <f t="shared" si="8"/>
        <v>#REF!</v>
      </c>
      <c r="K53" s="173" t="e">
        <f t="shared" si="9"/>
        <v>#REF!</v>
      </c>
      <c r="M53" s="196">
        <f>'[10]17-ChiNSDP2018'!J55</f>
        <v>1535</v>
      </c>
      <c r="N53" s="196">
        <f>'[11]17-ChiNSDP2018'!J55</f>
        <v>1665</v>
      </c>
      <c r="O53" s="158">
        <f>'[12]17-ChiNSDP2018'!J55</f>
        <v>805</v>
      </c>
      <c r="P53" s="196">
        <f>'[3]17-ChiNSDP2018'!J55</f>
        <v>1050</v>
      </c>
      <c r="Q53" s="196">
        <f>'[5]17-ChiNSDP2018'!J55</f>
        <v>2025</v>
      </c>
      <c r="R53" s="196">
        <f>'[8]17-ChiNSDP2018'!J55</f>
        <v>1545</v>
      </c>
      <c r="S53" s="196">
        <f>'[13]17-ChiNSDP2018'!J55</f>
        <v>1695</v>
      </c>
      <c r="T53" s="196">
        <f>'[14]17-ChiNSDP2018'!J55</f>
        <v>1135</v>
      </c>
      <c r="U53" s="196">
        <f>'[7]17-ChiNSDP2018'!J55</f>
        <v>1525</v>
      </c>
      <c r="V53" s="196">
        <f>'[15]17-ChiNSDP2018'!J55</f>
        <v>1175</v>
      </c>
      <c r="W53" s="196">
        <f>'[16]17-ChiNSDP2018'!J55</f>
        <v>875</v>
      </c>
      <c r="X53" s="196">
        <f>'[9]17-ChiNSDP2018'!J55</f>
        <v>1165</v>
      </c>
      <c r="Y53" s="196">
        <f>'[4]17-ChiNSDP2018'!J55</f>
        <v>1245</v>
      </c>
      <c r="Z53" s="196">
        <f>'[6]17-ChiNSDP2018'!J55</f>
        <v>1545</v>
      </c>
      <c r="AA53" s="196">
        <f>'[17]17-ChiNSDP2018'!J55</f>
        <v>905</v>
      </c>
      <c r="AB53" s="158">
        <f t="shared" si="23"/>
        <v>19890</v>
      </c>
      <c r="AC53" s="226">
        <f t="shared" si="5"/>
        <v>0</v>
      </c>
      <c r="AF53" s="319"/>
      <c r="AJ53" s="196">
        <v>1794</v>
      </c>
    </row>
    <row r="54" spans="1:45" ht="30">
      <c r="A54" s="76">
        <v>2</v>
      </c>
      <c r="B54" s="60" t="s">
        <v>899</v>
      </c>
      <c r="C54" s="158" t="e">
        <f>+C55+C56</f>
        <v>#REF!</v>
      </c>
      <c r="D54" s="158" t="e">
        <f t="shared" ref="D54:E54" si="40">+D55+D56</f>
        <v>#REF!</v>
      </c>
      <c r="E54" s="158" t="e">
        <f t="shared" si="40"/>
        <v>#REF!</v>
      </c>
      <c r="F54" s="158">
        <f t="shared" si="16"/>
        <v>30364</v>
      </c>
      <c r="G54" s="158">
        <f>+G55+G56</f>
        <v>23168</v>
      </c>
      <c r="H54" s="158">
        <f>+H55+H56</f>
        <v>7196</v>
      </c>
      <c r="I54" s="173" t="e">
        <f t="shared" si="7"/>
        <v>#REF!</v>
      </c>
      <c r="J54" s="173" t="e">
        <f t="shared" si="8"/>
        <v>#REF!</v>
      </c>
      <c r="K54" s="173" t="e">
        <f t="shared" si="9"/>
        <v>#REF!</v>
      </c>
      <c r="M54" s="196">
        <f>+M55+M56</f>
        <v>57.309941999999999</v>
      </c>
      <c r="N54" s="196">
        <f t="shared" ref="N54:AA54" si="41">+N55+N56</f>
        <v>420.30993999999998</v>
      </c>
      <c r="O54" s="196">
        <f t="shared" si="41"/>
        <v>45.847952999999997</v>
      </c>
      <c r="P54" s="196">
        <f t="shared" si="41"/>
        <v>45.847952999999997</v>
      </c>
      <c r="Q54" s="196">
        <f t="shared" si="41"/>
        <v>50.432749000000001</v>
      </c>
      <c r="R54" s="196">
        <f t="shared" si="41"/>
        <v>60</v>
      </c>
      <c r="S54" s="196">
        <f t="shared" si="41"/>
        <v>50.432749000000001</v>
      </c>
      <c r="T54" s="196">
        <f t="shared" si="41"/>
        <v>45.847952999999997</v>
      </c>
      <c r="U54" s="196">
        <f t="shared" si="41"/>
        <v>482</v>
      </c>
      <c r="V54" s="196">
        <f t="shared" si="41"/>
        <v>1473</v>
      </c>
      <c r="W54" s="196">
        <f t="shared" si="41"/>
        <v>261.60700000000003</v>
      </c>
      <c r="X54" s="196">
        <f t="shared" si="41"/>
        <v>904.062544</v>
      </c>
      <c r="Y54" s="196">
        <f t="shared" si="41"/>
        <v>48.140351000000003</v>
      </c>
      <c r="Z54" s="196">
        <f t="shared" si="41"/>
        <v>2749</v>
      </c>
      <c r="AA54" s="196">
        <f t="shared" si="41"/>
        <v>502</v>
      </c>
      <c r="AB54" s="158">
        <f t="shared" si="23"/>
        <v>7195.8391339999998</v>
      </c>
      <c r="AC54" s="226">
        <f t="shared" si="5"/>
        <v>-0.16086600000016915</v>
      </c>
      <c r="AD54" s="196">
        <f>+AD55+AD56</f>
        <v>0</v>
      </c>
      <c r="AE54" s="196">
        <f t="shared" ref="AE54:AR54" si="42">+AE55+AE56</f>
        <v>0</v>
      </c>
      <c r="AF54" s="196">
        <f t="shared" si="42"/>
        <v>0</v>
      </c>
      <c r="AG54" s="196">
        <f t="shared" si="42"/>
        <v>0</v>
      </c>
      <c r="AH54" s="196">
        <f t="shared" si="42"/>
        <v>0</v>
      </c>
      <c r="AI54" s="196">
        <f t="shared" si="42"/>
        <v>0</v>
      </c>
      <c r="AJ54" s="196">
        <f t="shared" si="42"/>
        <v>0</v>
      </c>
      <c r="AK54" s="196">
        <f t="shared" si="42"/>
        <v>0</v>
      </c>
      <c r="AL54" s="196">
        <f t="shared" si="42"/>
        <v>0</v>
      </c>
      <c r="AM54" s="196">
        <f t="shared" si="42"/>
        <v>0</v>
      </c>
      <c r="AN54" s="196">
        <f t="shared" si="42"/>
        <v>0</v>
      </c>
      <c r="AO54" s="196">
        <f t="shared" si="42"/>
        <v>0</v>
      </c>
      <c r="AP54" s="196">
        <f t="shared" si="42"/>
        <v>0</v>
      </c>
      <c r="AQ54" s="196">
        <f t="shared" si="42"/>
        <v>0</v>
      </c>
      <c r="AR54" s="196">
        <f t="shared" si="42"/>
        <v>0</v>
      </c>
    </row>
    <row r="55" spans="1:45" ht="15.75">
      <c r="A55" s="76"/>
      <c r="B55" s="149" t="s">
        <v>909</v>
      </c>
      <c r="C55" s="158" t="e">
        <f t="shared" si="3"/>
        <v>#REF!</v>
      </c>
      <c r="D55" s="158" t="e">
        <f>'49-CK NSNN'!#REF!</f>
        <v>#REF!</v>
      </c>
      <c r="E55" s="158" t="e">
        <f>'49-CK NSNN'!#REF!</f>
        <v>#REF!</v>
      </c>
      <c r="F55" s="158">
        <f t="shared" si="16"/>
        <v>18739</v>
      </c>
      <c r="G55" s="158">
        <f>18639+100</f>
        <v>18739</v>
      </c>
      <c r="H55" s="158">
        <f>AB55</f>
        <v>0</v>
      </c>
      <c r="I55" s="173" t="e">
        <f t="shared" si="7"/>
        <v>#REF!</v>
      </c>
      <c r="J55" s="173" t="e">
        <f t="shared" si="8"/>
        <v>#REF!</v>
      </c>
      <c r="K55" s="173"/>
      <c r="M55" s="196">
        <f>'[10]17-ChiNSDP2018'!J57</f>
        <v>0</v>
      </c>
      <c r="N55" s="196">
        <f>'[11]17-ChiNSDP2018'!J57</f>
        <v>0</v>
      </c>
      <c r="O55" s="158">
        <f>'[12]17-ChiNSDP2018'!J57</f>
        <v>0</v>
      </c>
      <c r="P55" s="196">
        <f>'[3]17-ChiNSDP2018'!J57</f>
        <v>0</v>
      </c>
      <c r="Q55" s="196">
        <f>'[5]17-ChiNSDP2018'!J57</f>
        <v>0</v>
      </c>
      <c r="R55" s="196">
        <f>'[8]17-ChiNSDP2018'!J57</f>
        <v>0</v>
      </c>
      <c r="S55" s="196">
        <f>'[13]17-ChiNSDP2018'!J57</f>
        <v>0</v>
      </c>
      <c r="T55" s="196">
        <f>'[14]17-ChiNSDP2018'!J57</f>
        <v>0</v>
      </c>
      <c r="U55" s="196">
        <f>'[7]17-ChiNSDP2018'!J57</f>
        <v>0</v>
      </c>
      <c r="V55" s="196">
        <f>'[15]17-ChiNSDP2018'!J57</f>
        <v>0</v>
      </c>
      <c r="W55" s="196">
        <f>'[16]17-ChiNSDP2018'!J57</f>
        <v>0</v>
      </c>
      <c r="X55" s="196">
        <f>'[9]17-ChiNSDP2018'!J57</f>
        <v>0</v>
      </c>
      <c r="Y55" s="196">
        <f>'[4]17-ChiNSDP2018'!J57</f>
        <v>0</v>
      </c>
      <c r="Z55" s="196">
        <f>'[6]17-ChiNSDP2018'!J57</f>
        <v>0</v>
      </c>
      <c r="AA55" s="196">
        <f>'[17]17-ChiNSDP2018'!J57</f>
        <v>0</v>
      </c>
      <c r="AB55" s="158">
        <f t="shared" si="23"/>
        <v>0</v>
      </c>
      <c r="AC55" s="226">
        <f t="shared" si="5"/>
        <v>0</v>
      </c>
    </row>
    <row r="56" spans="1:45" ht="15.75">
      <c r="A56" s="76"/>
      <c r="B56" s="149" t="s">
        <v>910</v>
      </c>
      <c r="C56" s="158" t="e">
        <f t="shared" si="3"/>
        <v>#REF!</v>
      </c>
      <c r="D56" s="158" t="e">
        <f>'49-CK NSNN'!#REF!</f>
        <v>#REF!</v>
      </c>
      <c r="E56" s="158" t="e">
        <f>'49-CK NSNN'!#REF!</f>
        <v>#REF!</v>
      </c>
      <c r="F56" s="158">
        <f t="shared" si="16"/>
        <v>11625</v>
      </c>
      <c r="G56" s="158">
        <v>4429</v>
      </c>
      <c r="H56" s="158">
        <v>7196</v>
      </c>
      <c r="I56" s="173" t="e">
        <f t="shared" si="7"/>
        <v>#REF!</v>
      </c>
      <c r="J56" s="173" t="e">
        <f t="shared" si="8"/>
        <v>#REF!</v>
      </c>
      <c r="K56" s="173" t="e">
        <f t="shared" si="9"/>
        <v>#REF!</v>
      </c>
      <c r="M56" s="196">
        <f>'[10]17-ChiNSDP2018'!J58</f>
        <v>57.309941999999999</v>
      </c>
      <c r="N56" s="196">
        <f>'[11]17-ChiNSDP2018'!J58</f>
        <v>420.30993999999998</v>
      </c>
      <c r="O56" s="158">
        <f>'[12]17-ChiNSDP2018'!J58</f>
        <v>45.847952999999997</v>
      </c>
      <c r="P56" s="196">
        <f>'[3]17-ChiNSDP2018'!J58</f>
        <v>45.847952999999997</v>
      </c>
      <c r="Q56" s="196">
        <f>'[5]17-ChiNSDP2018'!J58</f>
        <v>50.432749000000001</v>
      </c>
      <c r="R56" s="196">
        <f>'[8]17-ChiNSDP2018'!J58</f>
        <v>60</v>
      </c>
      <c r="S56" s="196">
        <f>'[13]17-ChiNSDP2018'!J58</f>
        <v>50.432749000000001</v>
      </c>
      <c r="T56" s="196">
        <f>'[14]17-ChiNSDP2018'!J58</f>
        <v>45.847952999999997</v>
      </c>
      <c r="U56" s="196">
        <f>'[7]17-ChiNSDP2018'!J58</f>
        <v>482</v>
      </c>
      <c r="V56" s="196">
        <f>'[15]17-ChiNSDP2018'!J58</f>
        <v>1473</v>
      </c>
      <c r="W56" s="196">
        <f>'[16]17-ChiNSDP2018'!J58</f>
        <v>261.60700000000003</v>
      </c>
      <c r="X56" s="196">
        <f>'[9]17-ChiNSDP2018'!J58</f>
        <v>904.062544</v>
      </c>
      <c r="Y56" s="196">
        <f>'[4]17-ChiNSDP2018'!J58</f>
        <v>48.140351000000003</v>
      </c>
      <c r="Z56" s="196">
        <f>'[6]17-ChiNSDP2018'!J58</f>
        <v>2749</v>
      </c>
      <c r="AA56" s="196">
        <f>'[17]17-ChiNSDP2018'!J58</f>
        <v>502</v>
      </c>
      <c r="AB56" s="158">
        <f t="shared" si="23"/>
        <v>7195.8391339999998</v>
      </c>
      <c r="AC56" s="226">
        <f t="shared" si="5"/>
        <v>-0.16086600000016915</v>
      </c>
    </row>
    <row r="57" spans="1:45" ht="15.75">
      <c r="A57" s="83">
        <v>3</v>
      </c>
      <c r="B57" s="60" t="s">
        <v>1309</v>
      </c>
      <c r="C57" s="215">
        <f>C58+C59</f>
        <v>0</v>
      </c>
      <c r="D57" s="215">
        <f>D58+D59</f>
        <v>0</v>
      </c>
      <c r="E57" s="215">
        <f t="shared" ref="E57" si="43">E58+E59</f>
        <v>0</v>
      </c>
      <c r="F57" s="215"/>
      <c r="G57" s="215"/>
      <c r="H57" s="215"/>
      <c r="I57" s="169"/>
      <c r="J57" s="169"/>
      <c r="K57" s="169"/>
      <c r="O57" s="321"/>
      <c r="AB57" s="158"/>
      <c r="AC57" s="226"/>
    </row>
    <row r="58" spans="1:45" s="317" customFormat="1" ht="15.75">
      <c r="A58" s="146"/>
      <c r="B58" s="149" t="s">
        <v>1310</v>
      </c>
      <c r="C58" s="444"/>
      <c r="D58" s="444"/>
      <c r="E58" s="166"/>
      <c r="F58" s="166"/>
      <c r="G58" s="166"/>
      <c r="H58" s="166"/>
      <c r="I58" s="478"/>
      <c r="J58" s="478"/>
      <c r="K58" s="478"/>
      <c r="M58" s="318"/>
      <c r="N58" s="318"/>
      <c r="O58" s="479"/>
      <c r="P58" s="318"/>
      <c r="Q58" s="318"/>
      <c r="R58" s="318"/>
      <c r="S58" s="318"/>
      <c r="T58" s="318"/>
      <c r="U58" s="318"/>
      <c r="V58" s="318"/>
      <c r="W58" s="318"/>
      <c r="X58" s="318"/>
      <c r="Y58" s="318"/>
      <c r="Z58" s="318"/>
      <c r="AA58" s="318"/>
      <c r="AB58" s="166"/>
      <c r="AC58" s="480"/>
      <c r="AD58" s="318"/>
      <c r="AE58" s="318"/>
      <c r="AF58" s="318"/>
      <c r="AG58" s="318"/>
      <c r="AH58" s="318"/>
      <c r="AI58" s="318"/>
      <c r="AJ58" s="318"/>
      <c r="AK58" s="318"/>
      <c r="AL58" s="318"/>
      <c r="AM58" s="318"/>
      <c r="AN58" s="318"/>
      <c r="AO58" s="318"/>
      <c r="AP58" s="318"/>
      <c r="AQ58" s="318"/>
      <c r="AR58" s="318"/>
      <c r="AS58" s="318"/>
    </row>
    <row r="59" spans="1:45" s="317" customFormat="1" ht="15.75">
      <c r="A59" s="146"/>
      <c r="B59" s="149" t="s">
        <v>1311</v>
      </c>
      <c r="C59" s="444"/>
      <c r="D59" s="444"/>
      <c r="E59" s="166"/>
      <c r="F59" s="166"/>
      <c r="G59" s="166"/>
      <c r="H59" s="166"/>
      <c r="I59" s="478"/>
      <c r="J59" s="478"/>
      <c r="K59" s="478"/>
      <c r="M59" s="318"/>
      <c r="N59" s="318"/>
      <c r="O59" s="479"/>
      <c r="P59" s="318"/>
      <c r="Q59" s="318"/>
      <c r="R59" s="318"/>
      <c r="S59" s="318"/>
      <c r="T59" s="318"/>
      <c r="U59" s="318"/>
      <c r="V59" s="318"/>
      <c r="W59" s="318"/>
      <c r="X59" s="318"/>
      <c r="Y59" s="318"/>
      <c r="Z59" s="318"/>
      <c r="AA59" s="318"/>
      <c r="AB59" s="166"/>
      <c r="AC59" s="480"/>
      <c r="AD59" s="318"/>
      <c r="AE59" s="318"/>
      <c r="AF59" s="318"/>
      <c r="AG59" s="318"/>
      <c r="AH59" s="318"/>
      <c r="AI59" s="318"/>
      <c r="AJ59" s="318"/>
      <c r="AK59" s="318"/>
      <c r="AL59" s="318"/>
      <c r="AM59" s="318"/>
      <c r="AN59" s="318"/>
      <c r="AO59" s="318"/>
      <c r="AP59" s="318"/>
      <c r="AQ59" s="318"/>
      <c r="AR59" s="318"/>
      <c r="AS59" s="318"/>
    </row>
    <row r="60" spans="1:45" ht="15.75">
      <c r="A60" s="76"/>
      <c r="B60" s="149"/>
      <c r="C60" s="158"/>
      <c r="D60" s="158"/>
      <c r="E60" s="158"/>
      <c r="F60" s="158"/>
      <c r="G60" s="158"/>
      <c r="H60" s="158"/>
      <c r="I60" s="169"/>
      <c r="J60" s="169"/>
      <c r="K60" s="169"/>
      <c r="O60" s="321"/>
      <c r="AB60" s="158"/>
      <c r="AC60" s="226"/>
    </row>
    <row r="61" spans="1:45" s="314" customFormat="1" ht="15.75">
      <c r="A61" s="74" t="s">
        <v>70</v>
      </c>
      <c r="B61" s="313" t="s">
        <v>244</v>
      </c>
      <c r="C61" s="168" t="e">
        <f t="shared" si="3"/>
        <v>#REF!</v>
      </c>
      <c r="D61" s="168" t="e">
        <f>SUM(D62:D63)</f>
        <v>#REF!</v>
      </c>
      <c r="E61" s="168" t="e">
        <f>SUM(E62:E63)</f>
        <v>#REF!</v>
      </c>
      <c r="F61" s="168">
        <f t="shared" si="16"/>
        <v>256422</v>
      </c>
      <c r="G61" s="168">
        <f>SUM(G62:G63)</f>
        <v>183455</v>
      </c>
      <c r="H61" s="168">
        <f>SUM(H62:H63)</f>
        <v>72967</v>
      </c>
      <c r="I61" s="169" t="e">
        <f t="shared" si="7"/>
        <v>#REF!</v>
      </c>
      <c r="J61" s="169" t="e">
        <f t="shared" si="8"/>
        <v>#REF!</v>
      </c>
      <c r="K61" s="169"/>
      <c r="M61" s="226">
        <f>+M62+M63</f>
        <v>0</v>
      </c>
      <c r="N61" s="226">
        <f t="shared" ref="N61:AA61" si="44">+N62+N63</f>
        <v>0</v>
      </c>
      <c r="O61" s="226">
        <f t="shared" si="44"/>
        <v>0</v>
      </c>
      <c r="P61" s="226">
        <f t="shared" si="44"/>
        <v>0</v>
      </c>
      <c r="Q61" s="226">
        <f t="shared" si="44"/>
        <v>0</v>
      </c>
      <c r="R61" s="226">
        <f t="shared" si="44"/>
        <v>0</v>
      </c>
      <c r="S61" s="226">
        <f t="shared" si="44"/>
        <v>0</v>
      </c>
      <c r="T61" s="226">
        <f t="shared" si="44"/>
        <v>0</v>
      </c>
      <c r="U61" s="226">
        <f t="shared" si="44"/>
        <v>0</v>
      </c>
      <c r="V61" s="226">
        <f t="shared" si="44"/>
        <v>0</v>
      </c>
      <c r="W61" s="226">
        <f t="shared" si="44"/>
        <v>0</v>
      </c>
      <c r="X61" s="226">
        <f t="shared" si="44"/>
        <v>0</v>
      </c>
      <c r="Y61" s="226">
        <f t="shared" si="44"/>
        <v>0</v>
      </c>
      <c r="Z61" s="226">
        <f t="shared" si="44"/>
        <v>0</v>
      </c>
      <c r="AA61" s="226">
        <f t="shared" si="44"/>
        <v>0</v>
      </c>
      <c r="AB61" s="158">
        <f t="shared" si="23"/>
        <v>0</v>
      </c>
      <c r="AC61" s="226">
        <f t="shared" si="5"/>
        <v>-72967</v>
      </c>
      <c r="AD61" s="226">
        <f>+AD62+AD63</f>
        <v>0</v>
      </c>
      <c r="AE61" s="226">
        <f t="shared" ref="AE61:AR61" si="45">+AE62+AE63</f>
        <v>0</v>
      </c>
      <c r="AF61" s="226">
        <f t="shared" si="45"/>
        <v>0</v>
      </c>
      <c r="AG61" s="226">
        <f t="shared" si="45"/>
        <v>0</v>
      </c>
      <c r="AH61" s="226">
        <f t="shared" si="45"/>
        <v>0</v>
      </c>
      <c r="AI61" s="226">
        <f t="shared" si="45"/>
        <v>0</v>
      </c>
      <c r="AJ61" s="226">
        <f t="shared" si="45"/>
        <v>0</v>
      </c>
      <c r="AK61" s="226">
        <f t="shared" si="45"/>
        <v>0</v>
      </c>
      <c r="AL61" s="226">
        <f t="shared" si="45"/>
        <v>0</v>
      </c>
      <c r="AM61" s="226">
        <f t="shared" si="45"/>
        <v>0</v>
      </c>
      <c r="AN61" s="226">
        <f t="shared" si="45"/>
        <v>0</v>
      </c>
      <c r="AO61" s="226">
        <f t="shared" si="45"/>
        <v>0</v>
      </c>
      <c r="AP61" s="226">
        <f t="shared" si="45"/>
        <v>0</v>
      </c>
      <c r="AQ61" s="226">
        <f t="shared" si="45"/>
        <v>0</v>
      </c>
      <c r="AR61" s="226">
        <f t="shared" si="45"/>
        <v>0</v>
      </c>
      <c r="AS61" s="226"/>
    </row>
    <row r="62" spans="1:45" ht="15.75">
      <c r="A62" s="76"/>
      <c r="B62" s="60" t="s">
        <v>340</v>
      </c>
      <c r="C62" s="158">
        <f t="shared" si="3"/>
        <v>119190</v>
      </c>
      <c r="D62" s="158">
        <v>119190</v>
      </c>
      <c r="E62" s="158">
        <v>0</v>
      </c>
      <c r="F62" s="158">
        <f t="shared" si="16"/>
        <v>119190</v>
      </c>
      <c r="G62" s="158">
        <v>119190</v>
      </c>
      <c r="H62" s="158"/>
      <c r="I62" s="173">
        <f t="shared" si="7"/>
        <v>1</v>
      </c>
      <c r="J62" s="173">
        <f t="shared" si="8"/>
        <v>1</v>
      </c>
      <c r="K62" s="169"/>
      <c r="AB62" s="158">
        <f t="shared" si="23"/>
        <v>0</v>
      </c>
      <c r="AC62" s="226">
        <f t="shared" si="5"/>
        <v>0</v>
      </c>
    </row>
    <row r="63" spans="1:45" ht="15.75">
      <c r="A63" s="97"/>
      <c r="B63" s="153" t="s">
        <v>96</v>
      </c>
      <c r="C63" s="158" t="e">
        <f t="shared" si="3"/>
        <v>#REF!</v>
      </c>
      <c r="D63" s="160" t="e">
        <f>SUM(D64:D82)</f>
        <v>#REF!</v>
      </c>
      <c r="E63" s="160" t="e">
        <f>SUM(E64:E82)</f>
        <v>#REF!</v>
      </c>
      <c r="F63" s="158">
        <f t="shared" si="16"/>
        <v>137232</v>
      </c>
      <c r="G63" s="160">
        <f>SUM(G64:G82)</f>
        <v>64265</v>
      </c>
      <c r="H63" s="160">
        <f>SUM(H64:H82)</f>
        <v>72967</v>
      </c>
      <c r="I63" s="173" t="e">
        <f t="shared" si="7"/>
        <v>#REF!</v>
      </c>
      <c r="J63" s="173" t="e">
        <f t="shared" si="8"/>
        <v>#REF!</v>
      </c>
      <c r="K63" s="169"/>
      <c r="M63" s="196">
        <f>+M64+M65+M66+M67</f>
        <v>0</v>
      </c>
      <c r="N63" s="196">
        <f t="shared" ref="N63:AA63" si="46">+N64+N65+N66+N67</f>
        <v>0</v>
      </c>
      <c r="O63" s="196">
        <f t="shared" si="46"/>
        <v>0</v>
      </c>
      <c r="P63" s="196">
        <f t="shared" si="46"/>
        <v>0</v>
      </c>
      <c r="Q63" s="196">
        <f t="shared" si="46"/>
        <v>0</v>
      </c>
      <c r="R63" s="196">
        <f t="shared" si="46"/>
        <v>0</v>
      </c>
      <c r="S63" s="196">
        <f t="shared" si="46"/>
        <v>0</v>
      </c>
      <c r="T63" s="196">
        <f t="shared" si="46"/>
        <v>0</v>
      </c>
      <c r="U63" s="196">
        <f t="shared" si="46"/>
        <v>0</v>
      </c>
      <c r="V63" s="196">
        <f t="shared" si="46"/>
        <v>0</v>
      </c>
      <c r="W63" s="196">
        <f t="shared" si="46"/>
        <v>0</v>
      </c>
      <c r="X63" s="196">
        <f t="shared" si="46"/>
        <v>0</v>
      </c>
      <c r="Y63" s="196">
        <f t="shared" si="46"/>
        <v>0</v>
      </c>
      <c r="Z63" s="196">
        <f t="shared" si="46"/>
        <v>0</v>
      </c>
      <c r="AA63" s="196">
        <f t="shared" si="46"/>
        <v>0</v>
      </c>
      <c r="AB63" s="158">
        <f t="shared" si="23"/>
        <v>0</v>
      </c>
      <c r="AC63" s="226">
        <f t="shared" si="5"/>
        <v>-72967</v>
      </c>
      <c r="AD63" s="196">
        <f>+AD64+AD65+AD66+AD67</f>
        <v>0</v>
      </c>
      <c r="AE63" s="196">
        <f t="shared" ref="AE63:AR63" si="47">+AE64+AE65+AE66+AE67</f>
        <v>0</v>
      </c>
      <c r="AF63" s="196">
        <f t="shared" si="47"/>
        <v>0</v>
      </c>
      <c r="AG63" s="196">
        <f t="shared" si="47"/>
        <v>0</v>
      </c>
      <c r="AH63" s="196">
        <f t="shared" si="47"/>
        <v>0</v>
      </c>
      <c r="AI63" s="196">
        <f t="shared" si="47"/>
        <v>0</v>
      </c>
      <c r="AJ63" s="196">
        <f t="shared" si="47"/>
        <v>0</v>
      </c>
      <c r="AK63" s="196">
        <f t="shared" si="47"/>
        <v>0</v>
      </c>
      <c r="AL63" s="196">
        <f t="shared" si="47"/>
        <v>0</v>
      </c>
      <c r="AM63" s="196">
        <f t="shared" si="47"/>
        <v>0</v>
      </c>
      <c r="AN63" s="196">
        <f t="shared" si="47"/>
        <v>0</v>
      </c>
      <c r="AO63" s="196">
        <f t="shared" si="47"/>
        <v>0</v>
      </c>
      <c r="AP63" s="196">
        <f t="shared" si="47"/>
        <v>0</v>
      </c>
      <c r="AQ63" s="196">
        <f t="shared" si="47"/>
        <v>0</v>
      </c>
      <c r="AR63" s="196">
        <f t="shared" si="47"/>
        <v>0</v>
      </c>
    </row>
    <row r="64" spans="1:45" ht="15.75">
      <c r="A64" s="97"/>
      <c r="B64" s="153" t="s">
        <v>901</v>
      </c>
      <c r="C64" s="158">
        <v>16200</v>
      </c>
      <c r="D64" s="158">
        <v>16200</v>
      </c>
      <c r="E64" s="158" t="e">
        <f>'49-CK NSNN'!#REF!</f>
        <v>#REF!</v>
      </c>
      <c r="F64" s="158">
        <f t="shared" si="16"/>
        <v>16200</v>
      </c>
      <c r="G64" s="160">
        <v>16200</v>
      </c>
      <c r="H64" s="160"/>
      <c r="I64" s="173">
        <f t="shared" si="7"/>
        <v>1</v>
      </c>
      <c r="J64" s="173">
        <f t="shared" si="8"/>
        <v>1</v>
      </c>
      <c r="K64" s="169"/>
      <c r="AB64" s="158">
        <f t="shared" si="23"/>
        <v>0</v>
      </c>
      <c r="AC64" s="226">
        <f t="shared" si="5"/>
        <v>0</v>
      </c>
    </row>
    <row r="65" spans="1:29" ht="15.75">
      <c r="A65" s="97"/>
      <c r="B65" s="153" t="s">
        <v>902</v>
      </c>
      <c r="C65" s="158">
        <v>308</v>
      </c>
      <c r="D65" s="158">
        <v>308</v>
      </c>
      <c r="E65" s="158" t="e">
        <f>'49-CK NSNN'!#REF!</f>
        <v>#REF!</v>
      </c>
      <c r="F65" s="158">
        <f t="shared" si="16"/>
        <v>308</v>
      </c>
      <c r="G65" s="160">
        <v>308</v>
      </c>
      <c r="H65" s="160"/>
      <c r="I65" s="173">
        <f t="shared" si="7"/>
        <v>1</v>
      </c>
      <c r="J65" s="173">
        <f t="shared" si="8"/>
        <v>1</v>
      </c>
      <c r="K65" s="169"/>
      <c r="AB65" s="158">
        <f t="shared" si="23"/>
        <v>0</v>
      </c>
      <c r="AC65" s="226">
        <f t="shared" si="5"/>
        <v>0</v>
      </c>
    </row>
    <row r="66" spans="1:29" ht="15.75">
      <c r="A66" s="97"/>
      <c r="B66" s="153" t="s">
        <v>903</v>
      </c>
      <c r="C66" s="158">
        <v>10000</v>
      </c>
      <c r="D66" s="158">
        <v>10000</v>
      </c>
      <c r="E66" s="158" t="e">
        <f>'49-CK NSNN'!#REF!</f>
        <v>#REF!</v>
      </c>
      <c r="F66" s="158">
        <f t="shared" si="16"/>
        <v>10000</v>
      </c>
      <c r="G66" s="160">
        <v>10000</v>
      </c>
      <c r="H66" s="160"/>
      <c r="I66" s="173">
        <f t="shared" si="7"/>
        <v>1</v>
      </c>
      <c r="J66" s="173">
        <f t="shared" si="8"/>
        <v>1</v>
      </c>
      <c r="K66" s="169"/>
      <c r="AB66" s="158">
        <f t="shared" si="23"/>
        <v>0</v>
      </c>
      <c r="AC66" s="226">
        <f t="shared" si="5"/>
        <v>0</v>
      </c>
    </row>
    <row r="67" spans="1:29" ht="15.75">
      <c r="A67" s="97"/>
      <c r="B67" s="153" t="s">
        <v>904</v>
      </c>
      <c r="C67" s="158">
        <v>4900</v>
      </c>
      <c r="D67" s="158">
        <v>4900</v>
      </c>
      <c r="E67" s="158" t="e">
        <f>'49-CK NSNN'!#REF!</f>
        <v>#REF!</v>
      </c>
      <c r="F67" s="158">
        <f t="shared" si="16"/>
        <v>4900</v>
      </c>
      <c r="G67" s="160">
        <f>D67</f>
        <v>4900</v>
      </c>
      <c r="H67" s="160"/>
      <c r="I67" s="173">
        <f t="shared" si="7"/>
        <v>1</v>
      </c>
      <c r="J67" s="173">
        <f t="shared" si="8"/>
        <v>1</v>
      </c>
      <c r="K67" s="169"/>
      <c r="AB67" s="158">
        <f t="shared" si="23"/>
        <v>0</v>
      </c>
      <c r="AC67" s="226">
        <f t="shared" si="5"/>
        <v>0</v>
      </c>
    </row>
    <row r="68" spans="1:29" ht="30">
      <c r="A68" s="97"/>
      <c r="B68" s="153" t="s">
        <v>1127</v>
      </c>
      <c r="C68" s="158">
        <v>10838</v>
      </c>
      <c r="D68" s="158">
        <v>4781</v>
      </c>
      <c r="E68" s="158">
        <v>6057</v>
      </c>
      <c r="F68" s="158">
        <f>+G68+H68</f>
        <v>10568</v>
      </c>
      <c r="G68" s="160">
        <v>4511</v>
      </c>
      <c r="H68" s="160">
        <v>6057</v>
      </c>
      <c r="I68" s="169"/>
      <c r="J68" s="169"/>
      <c r="K68" s="169"/>
      <c r="AB68" s="158"/>
      <c r="AC68" s="226">
        <f t="shared" si="5"/>
        <v>-6057</v>
      </c>
    </row>
    <row r="69" spans="1:29" ht="30">
      <c r="A69" s="97"/>
      <c r="B69" s="153" t="s">
        <v>1132</v>
      </c>
      <c r="C69" s="158">
        <v>3594</v>
      </c>
      <c r="D69" s="158">
        <v>3594</v>
      </c>
      <c r="E69" s="158"/>
      <c r="F69" s="158">
        <f t="shared" ref="F69:F80" si="48">+G69+H69</f>
        <v>0</v>
      </c>
      <c r="G69" s="160"/>
      <c r="H69" s="160"/>
      <c r="I69" s="169"/>
      <c r="J69" s="169"/>
      <c r="K69" s="169"/>
      <c r="AB69" s="158"/>
      <c r="AC69" s="226">
        <f t="shared" si="5"/>
        <v>0</v>
      </c>
    </row>
    <row r="70" spans="1:29" ht="30">
      <c r="A70" s="97"/>
      <c r="B70" s="153" t="s">
        <v>1128</v>
      </c>
      <c r="C70" s="158">
        <v>2019</v>
      </c>
      <c r="D70" s="158">
        <v>2019</v>
      </c>
      <c r="E70" s="158"/>
      <c r="F70" s="158">
        <f t="shared" si="48"/>
        <v>732</v>
      </c>
      <c r="G70" s="160">
        <v>732</v>
      </c>
      <c r="H70" s="160"/>
      <c r="I70" s="169"/>
      <c r="J70" s="169"/>
      <c r="K70" s="169"/>
      <c r="AB70" s="158"/>
      <c r="AC70" s="226">
        <f t="shared" si="5"/>
        <v>0</v>
      </c>
    </row>
    <row r="71" spans="1:29" ht="45">
      <c r="A71" s="97"/>
      <c r="B71" s="153" t="s">
        <v>1129</v>
      </c>
      <c r="C71" s="158">
        <v>9558</v>
      </c>
      <c r="D71" s="158">
        <f t="shared" ref="D71:D80" si="49">C71-E71</f>
        <v>9558</v>
      </c>
      <c r="E71" s="158"/>
      <c r="F71" s="158">
        <f t="shared" si="48"/>
        <v>0</v>
      </c>
      <c r="G71" s="160"/>
      <c r="H71" s="160"/>
      <c r="I71" s="169"/>
      <c r="J71" s="169"/>
      <c r="K71" s="169"/>
      <c r="AB71" s="158"/>
      <c r="AC71" s="226">
        <f t="shared" si="5"/>
        <v>0</v>
      </c>
    </row>
    <row r="72" spans="1:29" ht="29.45" customHeight="1">
      <c r="A72" s="97"/>
      <c r="B72" s="153" t="s">
        <v>1130</v>
      </c>
      <c r="C72" s="158">
        <v>105743</v>
      </c>
      <c r="D72" s="158">
        <f t="shared" si="49"/>
        <v>38833</v>
      </c>
      <c r="E72" s="158">
        <v>66910</v>
      </c>
      <c r="F72" s="158">
        <f t="shared" si="48"/>
        <v>66910</v>
      </c>
      <c r="G72" s="160"/>
      <c r="H72" s="160">
        <v>66910</v>
      </c>
      <c r="I72" s="169"/>
      <c r="J72" s="169"/>
      <c r="K72" s="169"/>
      <c r="AB72" s="158"/>
      <c r="AC72" s="226">
        <f t="shared" si="5"/>
        <v>-66910</v>
      </c>
    </row>
    <row r="73" spans="1:29" ht="15.75">
      <c r="A73" s="97"/>
      <c r="B73" s="153" t="s">
        <v>1131</v>
      </c>
      <c r="C73" s="158">
        <v>7700</v>
      </c>
      <c r="D73" s="158">
        <f t="shared" si="49"/>
        <v>7700</v>
      </c>
      <c r="E73" s="158"/>
      <c r="F73" s="158">
        <f t="shared" si="48"/>
        <v>0</v>
      </c>
      <c r="G73" s="160"/>
      <c r="H73" s="160"/>
      <c r="I73" s="169"/>
      <c r="J73" s="169"/>
      <c r="K73" s="169"/>
      <c r="AB73" s="158"/>
      <c r="AC73" s="226">
        <f t="shared" si="5"/>
        <v>0</v>
      </c>
    </row>
    <row r="74" spans="1:29" ht="30">
      <c r="A74" s="97"/>
      <c r="B74" s="153" t="s">
        <v>1133</v>
      </c>
      <c r="C74" s="158">
        <v>5078</v>
      </c>
      <c r="D74" s="158">
        <f t="shared" si="49"/>
        <v>5078</v>
      </c>
      <c r="E74" s="158"/>
      <c r="F74" s="158">
        <f t="shared" si="48"/>
        <v>0</v>
      </c>
      <c r="G74" s="160"/>
      <c r="H74" s="160"/>
      <c r="I74" s="169"/>
      <c r="J74" s="169"/>
      <c r="K74" s="169"/>
      <c r="AB74" s="158"/>
      <c r="AC74" s="226">
        <f t="shared" si="5"/>
        <v>0</v>
      </c>
    </row>
    <row r="75" spans="1:29" ht="60">
      <c r="A75" s="97"/>
      <c r="B75" s="153" t="s">
        <v>1134</v>
      </c>
      <c r="C75" s="158">
        <v>500</v>
      </c>
      <c r="D75" s="158">
        <f t="shared" si="49"/>
        <v>500</v>
      </c>
      <c r="E75" s="158"/>
      <c r="F75" s="158">
        <f t="shared" si="48"/>
        <v>500</v>
      </c>
      <c r="G75" s="160">
        <v>500</v>
      </c>
      <c r="H75" s="160"/>
      <c r="I75" s="169"/>
      <c r="J75" s="169"/>
      <c r="K75" s="169"/>
      <c r="AB75" s="158"/>
      <c r="AC75" s="226">
        <f t="shared" si="5"/>
        <v>0</v>
      </c>
    </row>
    <row r="76" spans="1:29" ht="30">
      <c r="A76" s="97"/>
      <c r="B76" s="153" t="s">
        <v>1166</v>
      </c>
      <c r="C76" s="158">
        <v>25711</v>
      </c>
      <c r="D76" s="158">
        <f t="shared" si="49"/>
        <v>25711</v>
      </c>
      <c r="E76" s="158"/>
      <c r="F76" s="158">
        <f t="shared" si="48"/>
        <v>25711</v>
      </c>
      <c r="G76" s="160">
        <v>25711</v>
      </c>
      <c r="H76" s="160"/>
      <c r="I76" s="169"/>
      <c r="J76" s="169"/>
      <c r="K76" s="169"/>
      <c r="AB76" s="158"/>
      <c r="AC76" s="226">
        <f t="shared" ref="AC76:AC84" si="50">AB76-H76</f>
        <v>0</v>
      </c>
    </row>
    <row r="77" spans="1:29" ht="30">
      <c r="A77" s="97"/>
      <c r="B77" s="153" t="s">
        <v>1305</v>
      </c>
      <c r="C77" s="158">
        <v>743</v>
      </c>
      <c r="D77" s="158">
        <f t="shared" si="49"/>
        <v>743</v>
      </c>
      <c r="E77" s="158"/>
      <c r="F77" s="158">
        <f t="shared" si="48"/>
        <v>743</v>
      </c>
      <c r="G77" s="160">
        <v>743</v>
      </c>
      <c r="H77" s="160"/>
      <c r="I77" s="169"/>
      <c r="J77" s="169"/>
      <c r="K77" s="169"/>
      <c r="AB77" s="158"/>
      <c r="AC77" s="226">
        <f t="shared" si="50"/>
        <v>0</v>
      </c>
    </row>
    <row r="78" spans="1:29" ht="30">
      <c r="A78" s="97"/>
      <c r="B78" s="153" t="s">
        <v>1306</v>
      </c>
      <c r="C78" s="158">
        <v>900</v>
      </c>
      <c r="D78" s="158">
        <f t="shared" si="49"/>
        <v>900</v>
      </c>
      <c r="E78" s="158"/>
      <c r="F78" s="158">
        <f t="shared" si="48"/>
        <v>0</v>
      </c>
      <c r="G78" s="160"/>
      <c r="H78" s="160"/>
      <c r="I78" s="169"/>
      <c r="J78" s="169"/>
      <c r="K78" s="169"/>
      <c r="AB78" s="158"/>
      <c r="AC78" s="226">
        <f t="shared" ref="AC78:AC81" si="51">AB78-H78</f>
        <v>0</v>
      </c>
    </row>
    <row r="79" spans="1:29" ht="15.75">
      <c r="A79" s="97"/>
      <c r="B79" s="153" t="s">
        <v>1307</v>
      </c>
      <c r="C79" s="158">
        <v>660</v>
      </c>
      <c r="D79" s="158">
        <f t="shared" si="49"/>
        <v>660</v>
      </c>
      <c r="E79" s="158"/>
      <c r="F79" s="158">
        <f t="shared" si="48"/>
        <v>660</v>
      </c>
      <c r="G79" s="160">
        <v>660</v>
      </c>
      <c r="H79" s="160"/>
      <c r="I79" s="169"/>
      <c r="J79" s="169"/>
      <c r="K79" s="169"/>
      <c r="AB79" s="158"/>
      <c r="AC79" s="226">
        <f t="shared" si="51"/>
        <v>0</v>
      </c>
    </row>
    <row r="80" spans="1:29" ht="45">
      <c r="A80" s="97"/>
      <c r="B80" s="153" t="s">
        <v>1308</v>
      </c>
      <c r="C80" s="158">
        <v>967</v>
      </c>
      <c r="D80" s="158">
        <f t="shared" si="49"/>
        <v>967</v>
      </c>
      <c r="E80" s="158"/>
      <c r="F80" s="158">
        <f t="shared" si="48"/>
        <v>0</v>
      </c>
      <c r="G80" s="160"/>
      <c r="H80" s="160"/>
      <c r="I80" s="169"/>
      <c r="J80" s="169"/>
      <c r="K80" s="169"/>
      <c r="AB80" s="158"/>
      <c r="AC80" s="226">
        <f t="shared" si="51"/>
        <v>0</v>
      </c>
    </row>
    <row r="81" spans="1:45" ht="15.75">
      <c r="A81" s="97"/>
      <c r="B81" s="153"/>
      <c r="C81" s="158"/>
      <c r="D81" s="158"/>
      <c r="E81" s="158"/>
      <c r="F81" s="158"/>
      <c r="G81" s="160"/>
      <c r="H81" s="160"/>
      <c r="I81" s="169"/>
      <c r="J81" s="169"/>
      <c r="K81" s="169"/>
      <c r="AB81" s="158"/>
      <c r="AC81" s="226">
        <f t="shared" si="51"/>
        <v>0</v>
      </c>
    </row>
    <row r="82" spans="1:45" ht="15.75">
      <c r="A82" s="97"/>
      <c r="B82" s="98"/>
      <c r="C82" s="158" t="e">
        <f t="shared" si="3"/>
        <v>#REF!</v>
      </c>
      <c r="D82" s="158" t="e">
        <f>'49-CK NSNN'!#REF!</f>
        <v>#REF!</v>
      </c>
      <c r="E82" s="158" t="e">
        <f>'49-CK NSNN'!#REF!</f>
        <v>#REF!</v>
      </c>
      <c r="F82" s="158">
        <f t="shared" si="16"/>
        <v>0</v>
      </c>
      <c r="G82" s="160"/>
      <c r="H82" s="160"/>
      <c r="I82" s="169"/>
      <c r="J82" s="169"/>
      <c r="K82" s="169"/>
      <c r="AB82" s="158">
        <f t="shared" si="23"/>
        <v>0</v>
      </c>
      <c r="AC82" s="226">
        <f t="shared" si="50"/>
        <v>0</v>
      </c>
    </row>
    <row r="83" spans="1:45" s="314" customFormat="1" ht="31.5">
      <c r="A83" s="79" t="s">
        <v>79</v>
      </c>
      <c r="B83" s="80" t="s">
        <v>430</v>
      </c>
      <c r="C83" s="172">
        <f t="shared" si="3"/>
        <v>0</v>
      </c>
      <c r="D83" s="172"/>
      <c r="E83" s="172"/>
      <c r="F83" s="172">
        <f t="shared" si="16"/>
        <v>564360.17599999998</v>
      </c>
      <c r="G83" s="172">
        <f>'23-DG chi NST theoLV'!E49+(D80+D78+D73+(D70-G70))</f>
        <v>87733</v>
      </c>
      <c r="H83" s="172">
        <f>AB83</f>
        <v>476627.17599999998</v>
      </c>
      <c r="I83" s="170"/>
      <c r="J83" s="170"/>
      <c r="K83" s="170"/>
      <c r="M83" s="226">
        <f>'[10]17-ChiNSDP2018'!J69</f>
        <v>55495</v>
      </c>
      <c r="N83" s="226">
        <f>'[11]17-ChiNSDP2018'!J69</f>
        <v>79951.282000000007</v>
      </c>
      <c r="O83" s="226">
        <f>'[12]17-ChiNSDP2018'!J69</f>
        <v>35857.322</v>
      </c>
      <c r="P83" s="226">
        <f>'[3]17-ChiNSDP2018'!J69</f>
        <v>3531</v>
      </c>
      <c r="Q83" s="226">
        <f>'[5]17-ChiNSDP2018'!$J69</f>
        <v>176678.44200000001</v>
      </c>
      <c r="R83" s="226">
        <f>'[8]17-ChiNSDP2018'!J69</f>
        <v>4750</v>
      </c>
      <c r="S83" s="226">
        <f>'[13]17-ChiNSDP2018'!J69</f>
        <v>47960.982000000004</v>
      </c>
      <c r="T83" s="226">
        <f>'[14]17-ChiNSDP2018'!J69</f>
        <v>5050</v>
      </c>
      <c r="U83" s="226">
        <f>'[7]17-ChiNSDP2018'!J69</f>
        <v>6000</v>
      </c>
      <c r="V83" s="226">
        <f>'[15]17-ChiNSDP2018'!J69</f>
        <v>4250</v>
      </c>
      <c r="W83" s="226">
        <f>'[16]17-ChiNSDP2018'!J69</f>
        <v>30700</v>
      </c>
      <c r="X83" s="226">
        <f>'[9]17-ChiNSDP2018'!J69</f>
        <v>5493.1540000000005</v>
      </c>
      <c r="Y83" s="226">
        <f>'[4]17-ChiNSDP2018'!J69</f>
        <v>4766.9940000000006</v>
      </c>
      <c r="Z83" s="226">
        <f>'[6]17-ChiNSDP2018'!J69</f>
        <v>15143</v>
      </c>
      <c r="AA83" s="226">
        <f>'[17]17-ChiNSDP2018'!J69</f>
        <v>1000</v>
      </c>
      <c r="AB83" s="168">
        <f t="shared" si="23"/>
        <v>476627.17599999998</v>
      </c>
      <c r="AC83" s="226">
        <f t="shared" si="50"/>
        <v>0</v>
      </c>
      <c r="AD83" s="226"/>
      <c r="AE83" s="226"/>
      <c r="AF83" s="226"/>
      <c r="AG83" s="226"/>
      <c r="AH83" s="226"/>
      <c r="AI83" s="226"/>
      <c r="AJ83" s="226"/>
      <c r="AK83" s="226"/>
      <c r="AL83" s="226"/>
      <c r="AM83" s="226"/>
      <c r="AN83" s="226"/>
      <c r="AO83" s="226"/>
      <c r="AP83" s="226"/>
      <c r="AQ83" s="226"/>
      <c r="AR83" s="226"/>
      <c r="AS83" s="226"/>
    </row>
    <row r="84" spans="1:45" ht="15.75">
      <c r="A84" s="776" t="s">
        <v>276</v>
      </c>
      <c r="B84" s="776"/>
      <c r="C84" s="776"/>
      <c r="D84" s="776"/>
      <c r="E84" s="776"/>
      <c r="F84" s="776"/>
      <c r="G84" s="776"/>
      <c r="H84" s="776"/>
      <c r="I84" s="776"/>
      <c r="J84" s="776"/>
      <c r="K84" s="776"/>
      <c r="AC84" s="226">
        <f t="shared" si="50"/>
        <v>0</v>
      </c>
    </row>
    <row r="85" spans="1:45">
      <c r="B85" s="195" t="s">
        <v>1359</v>
      </c>
    </row>
  </sheetData>
  <customSheetViews>
    <customSheetView guid="{9F606621-8853-4836-9A7E-DBA5CF152671}" scale="75" showPageBreaks="1" hiddenRows="1" topLeftCell="B4">
      <pane xSplit="1" ySplit="4" topLeftCell="C8" activePane="bottomRight" state="frozen"/>
      <selection pane="bottomRight" activeCell="L25" sqref="L25"/>
      <pageMargins left="0.15748031496062992" right="0.15748031496062992" top="0.15748031496062992" bottom="0.15748031496062992" header="0.15748031496062992" footer="0.15748031496062992"/>
      <pageSetup paperSize="9" scale="70" orientation="portrait" r:id="rId1"/>
    </customSheetView>
    <customSheetView guid="{DB9039ED-C6EA-422D-9A5D-D152D95EDC67}" scale="70" showPageBreaks="1" printArea="1" hiddenRows="1" topLeftCell="A2">
      <pane xSplit="2" ySplit="6" topLeftCell="C8" activePane="bottomRight" state="frozen"/>
      <selection pane="bottomRight" activeCell="F8" sqref="F8"/>
      <pageMargins left="0.70866141732283472" right="0.31496062992125984" top="0.74803149606299213" bottom="0.74803149606299213" header="0.31496062992125984" footer="0.31496062992125984"/>
      <printOptions horizontalCentered="1"/>
      <pageSetup paperSize="9" scale="65" orientation="portrait" blackAndWhite="1" r:id="rId2"/>
    </customSheetView>
  </customSheetViews>
  <mergeCells count="11">
    <mergeCell ref="I5:K5"/>
    <mergeCell ref="J1:K1"/>
    <mergeCell ref="A2:K2"/>
    <mergeCell ref="A3:K3"/>
    <mergeCell ref="A84:K84"/>
    <mergeCell ref="A5:A6"/>
    <mergeCell ref="B5:B6"/>
    <mergeCell ref="C5:C6"/>
    <mergeCell ref="D5:E5"/>
    <mergeCell ref="F5:F6"/>
    <mergeCell ref="G5:H5"/>
  </mergeCells>
  <pageMargins left="0.15748031496062992" right="0.15748031496062992" top="0.15748031496062992" bottom="0.15748031496062992" header="0.15748031496062992" footer="0.15748031496062992"/>
  <pageSetup paperSize="9" scale="70" orientation="portrait" r:id="rId3"/>
</worksheet>
</file>

<file path=xl/worksheets/sheet24.xml><?xml version="1.0" encoding="utf-8"?>
<worksheet xmlns="http://schemas.openxmlformats.org/spreadsheetml/2006/main" xmlns:r="http://schemas.openxmlformats.org/officeDocument/2006/relationships">
  <dimension ref="A1:AB57"/>
  <sheetViews>
    <sheetView topLeftCell="B1" zoomScale="75" workbookViewId="0">
      <selection activeCell="K13" sqref="K13"/>
    </sheetView>
  </sheetViews>
  <sheetFormatPr defaultRowHeight="15"/>
  <cols>
    <col min="1" max="1" width="5.5703125" customWidth="1"/>
    <col min="2" max="2" width="48" customWidth="1"/>
    <col min="3" max="3" width="12.28515625" customWidth="1"/>
    <col min="4" max="4" width="13.42578125" customWidth="1"/>
    <col min="5" max="5" width="13.140625" customWidth="1"/>
    <col min="6" max="6" width="10.85546875" customWidth="1"/>
    <col min="8" max="8" width="11.5703125" customWidth="1"/>
    <col min="9" max="9" width="13.28515625" style="323" customWidth="1"/>
    <col min="10" max="10" width="9" style="323" bestFit="1" customWidth="1"/>
    <col min="11" max="11" width="11.5703125" style="323" customWidth="1"/>
    <col min="12" max="12" width="10.42578125" style="323" customWidth="1"/>
    <col min="13" max="13" width="9" style="323" bestFit="1" customWidth="1"/>
    <col min="14" max="14" width="12.140625" style="323" bestFit="1" customWidth="1"/>
    <col min="15" max="15" width="13.7109375" style="323" customWidth="1"/>
    <col min="16" max="16" width="11.28515625" style="323" customWidth="1"/>
    <col min="17" max="17" width="9" style="323" bestFit="1" customWidth="1"/>
    <col min="18" max="18" width="13.28515625" style="323" customWidth="1"/>
    <col min="19" max="19" width="7" style="323" customWidth="1"/>
    <col min="20" max="20" width="7.85546875" style="323" customWidth="1"/>
    <col min="21" max="21" width="9.7109375" style="323" customWidth="1"/>
    <col min="22" max="23" width="11" style="323" customWidth="1"/>
    <col min="24" max="24" width="26.7109375" customWidth="1"/>
    <col min="25" max="25" width="8.85546875" style="193"/>
    <col min="27" max="27" width="26.5703125" customWidth="1"/>
  </cols>
  <sheetData>
    <row r="1" spans="1:28" ht="15.75">
      <c r="G1" s="26" t="s">
        <v>501</v>
      </c>
    </row>
    <row r="2" spans="1:28" ht="6.6" customHeight="1">
      <c r="G2" s="26"/>
    </row>
    <row r="3" spans="1:28" ht="29.25" customHeight="1">
      <c r="A3" s="781" t="s">
        <v>835</v>
      </c>
      <c r="B3" s="781"/>
      <c r="C3" s="781"/>
      <c r="D3" s="781"/>
      <c r="E3" s="781"/>
      <c r="F3" s="781"/>
      <c r="G3" s="781"/>
    </row>
    <row r="4" spans="1:28" ht="12" customHeight="1">
      <c r="A4" s="774"/>
      <c r="B4" s="774"/>
      <c r="C4" s="774"/>
      <c r="D4" s="774"/>
      <c r="E4" s="774"/>
      <c r="F4" s="774"/>
      <c r="G4" s="774"/>
    </row>
    <row r="5" spans="1:28" ht="19.5" customHeight="1">
      <c r="G5" s="27" t="s">
        <v>56</v>
      </c>
    </row>
    <row r="6" spans="1:28" ht="25.9" customHeight="1">
      <c r="A6" s="773" t="s">
        <v>3</v>
      </c>
      <c r="B6" s="773" t="s">
        <v>4</v>
      </c>
      <c r="C6" s="773" t="s">
        <v>796</v>
      </c>
      <c r="D6" s="332" t="s">
        <v>1165</v>
      </c>
      <c r="E6" s="773" t="s">
        <v>797</v>
      </c>
      <c r="F6" s="773" t="s">
        <v>226</v>
      </c>
      <c r="G6" s="773"/>
      <c r="I6" s="777" t="s">
        <v>1120</v>
      </c>
      <c r="J6" s="777"/>
      <c r="K6" s="777"/>
      <c r="L6" s="777"/>
      <c r="M6" s="777"/>
      <c r="N6" s="777"/>
      <c r="O6" s="777"/>
      <c r="P6" s="777"/>
      <c r="Q6" s="777"/>
      <c r="R6" s="324"/>
      <c r="S6" s="329"/>
      <c r="T6" s="329"/>
      <c r="U6" s="418"/>
      <c r="V6" s="329"/>
      <c r="W6" s="418"/>
    </row>
    <row r="7" spans="1:28" ht="54.75" customHeight="1">
      <c r="A7" s="773"/>
      <c r="B7" s="773"/>
      <c r="C7" s="773"/>
      <c r="D7" s="333" t="s">
        <v>1164</v>
      </c>
      <c r="E7" s="773"/>
      <c r="F7" s="30" t="s">
        <v>227</v>
      </c>
      <c r="G7" s="30" t="s">
        <v>385</v>
      </c>
      <c r="I7" s="778" t="s">
        <v>1139</v>
      </c>
      <c r="J7" s="778"/>
      <c r="K7" s="778"/>
      <c r="L7" s="778" t="s">
        <v>1140</v>
      </c>
      <c r="M7" s="778"/>
      <c r="N7" s="778"/>
      <c r="O7" s="777" t="s">
        <v>1197</v>
      </c>
      <c r="P7" s="777"/>
      <c r="Q7" s="777"/>
      <c r="R7" s="324"/>
      <c r="S7" s="777" t="s">
        <v>1163</v>
      </c>
      <c r="T7" s="777"/>
      <c r="U7" s="419" t="s">
        <v>1302</v>
      </c>
      <c r="V7" s="419" t="s">
        <v>1303</v>
      </c>
      <c r="W7" s="419"/>
    </row>
    <row r="8" spans="1:28" ht="30">
      <c r="A8" s="30" t="s">
        <v>15</v>
      </c>
      <c r="B8" s="30" t="s">
        <v>16</v>
      </c>
      <c r="C8" s="30">
        <v>1</v>
      </c>
      <c r="D8" s="328"/>
      <c r="E8" s="30">
        <v>2</v>
      </c>
      <c r="F8" s="30" t="s">
        <v>332</v>
      </c>
      <c r="G8" s="30" t="s">
        <v>333</v>
      </c>
      <c r="I8" s="325" t="s">
        <v>1136</v>
      </c>
      <c r="J8" s="325" t="s">
        <v>1137</v>
      </c>
      <c r="K8" s="325"/>
      <c r="L8" s="325" t="s">
        <v>1138</v>
      </c>
      <c r="M8" s="325" t="s">
        <v>1137</v>
      </c>
      <c r="O8" s="325" t="s">
        <v>1141</v>
      </c>
      <c r="P8" s="325" t="s">
        <v>1137</v>
      </c>
    </row>
    <row r="9" spans="1:28" s="101" customFormat="1" ht="15.75">
      <c r="A9" s="71"/>
      <c r="B9" s="72" t="s">
        <v>90</v>
      </c>
      <c r="C9" s="167" t="e">
        <f>C10+C11</f>
        <v>#REF!</v>
      </c>
      <c r="D9" s="167">
        <f t="shared" ref="D9:E9" si="0">D10+D11</f>
        <v>6021164</v>
      </c>
      <c r="E9" s="167" t="e">
        <f t="shared" si="0"/>
        <v>#REF!</v>
      </c>
      <c r="F9" s="167" t="e">
        <f>E9-C9</f>
        <v>#REF!</v>
      </c>
      <c r="G9" s="171" t="e">
        <f>E9/C9</f>
        <v>#REF!</v>
      </c>
      <c r="I9" s="326"/>
      <c r="J9" s="326"/>
      <c r="K9" s="326"/>
      <c r="L9" s="326"/>
      <c r="M9" s="326"/>
      <c r="N9" s="326"/>
      <c r="O9" s="326"/>
      <c r="P9" s="326"/>
      <c r="Q9" s="326"/>
      <c r="R9" s="326"/>
      <c r="S9" s="326"/>
      <c r="T9" s="326"/>
      <c r="U9" s="326"/>
      <c r="V9" s="326"/>
      <c r="W9" s="326"/>
      <c r="Y9" s="331"/>
    </row>
    <row r="10" spans="1:28" s="101" customFormat="1" ht="31.5">
      <c r="A10" s="74" t="s">
        <v>15</v>
      </c>
      <c r="B10" s="144" t="s">
        <v>1304</v>
      </c>
      <c r="C10" s="168" t="e">
        <f>'19-DGCDNS T+H2017'!C20</f>
        <v>#REF!</v>
      </c>
      <c r="D10" s="334">
        <v>2579609</v>
      </c>
      <c r="E10" s="168" t="e">
        <f>'19-DGCDNS T+H2017'!D20</f>
        <v>#REF!</v>
      </c>
      <c r="F10" s="168" t="e">
        <f>+E10-C10</f>
        <v>#REF!</v>
      </c>
      <c r="G10" s="169" t="e">
        <f>+E10/C10</f>
        <v>#REF!</v>
      </c>
      <c r="I10" s="326"/>
      <c r="J10" s="326"/>
      <c r="K10" s="326"/>
      <c r="L10" s="326"/>
      <c r="M10" s="326"/>
      <c r="N10" s="326"/>
      <c r="O10" s="326"/>
      <c r="P10" s="326"/>
      <c r="Q10" s="326"/>
      <c r="R10" s="326"/>
      <c r="S10" s="326"/>
      <c r="T10" s="326"/>
      <c r="U10" s="326"/>
      <c r="V10" s="326"/>
      <c r="W10" s="326"/>
      <c r="Y10" s="331"/>
    </row>
    <row r="11" spans="1:28" s="101" customFormat="1" ht="31.5">
      <c r="A11" s="74" t="s">
        <v>16</v>
      </c>
      <c r="B11" s="144" t="s">
        <v>836</v>
      </c>
      <c r="C11" s="168" t="e">
        <f>+C12+C29+C45+C46+C47</f>
        <v>#REF!</v>
      </c>
      <c r="D11" s="168">
        <f t="shared" ref="D11:E11" si="1">+D12+D29+D45+D46+D47</f>
        <v>3441555</v>
      </c>
      <c r="E11" s="168" t="e">
        <f t="shared" si="1"/>
        <v>#REF!</v>
      </c>
      <c r="F11" s="168" t="e">
        <f t="shared" ref="F11:F49" si="2">+E11-C11</f>
        <v>#REF!</v>
      </c>
      <c r="G11" s="169" t="e">
        <f t="shared" ref="G11:G47" si="3">+E11/C11</f>
        <v>#REF!</v>
      </c>
      <c r="I11" s="326"/>
      <c r="J11" s="326"/>
      <c r="K11" s="326"/>
      <c r="L11" s="326"/>
      <c r="M11" s="326"/>
      <c r="N11" s="326"/>
      <c r="O11" s="326"/>
      <c r="P11" s="326"/>
      <c r="Q11" s="326"/>
      <c r="R11" s="326"/>
      <c r="S11" s="326"/>
      <c r="T11" s="326"/>
      <c r="U11" s="326"/>
      <c r="V11" s="326"/>
      <c r="W11" s="326"/>
      <c r="Y11" s="331"/>
    </row>
    <row r="12" spans="1:28" s="101" customFormat="1" ht="15.75">
      <c r="A12" s="74" t="s">
        <v>83</v>
      </c>
      <c r="B12" s="330" t="s">
        <v>504</v>
      </c>
      <c r="C12" s="168" t="e">
        <f>+C13+C27+C28</f>
        <v>#REF!</v>
      </c>
      <c r="D12" s="168">
        <f>+D13+D27+D28</f>
        <v>1780535</v>
      </c>
      <c r="E12" s="168">
        <f>+E13+E27+E28</f>
        <v>2065217.088</v>
      </c>
      <c r="F12" s="168" t="e">
        <f t="shared" si="2"/>
        <v>#REF!</v>
      </c>
      <c r="G12" s="169" t="e">
        <f t="shared" si="3"/>
        <v>#REF!</v>
      </c>
      <c r="I12" s="326"/>
      <c r="J12" s="326"/>
      <c r="K12" s="326"/>
      <c r="L12" s="326"/>
      <c r="M12" s="326"/>
      <c r="N12" s="326"/>
      <c r="O12" s="326">
        <f>+O13+O27+O28</f>
        <v>1622555</v>
      </c>
      <c r="P12" s="326">
        <f>+P13+P27+P28</f>
        <v>442662.08799999999</v>
      </c>
      <c r="Q12" s="326"/>
      <c r="R12" s="326">
        <f>+Q12+P12+O12</f>
        <v>2065217.088</v>
      </c>
      <c r="S12" s="326"/>
      <c r="T12" s="326"/>
      <c r="U12" s="326"/>
      <c r="V12" s="326"/>
      <c r="W12" s="326"/>
      <c r="Y12" s="331"/>
      <c r="Z12" s="331">
        <f>Z13+Z15+Z20+Z25+Z32+Z33</f>
        <v>642662.08799999999</v>
      </c>
    </row>
    <row r="13" spans="1:28" ht="15.75">
      <c r="A13" s="76">
        <v>1</v>
      </c>
      <c r="B13" s="77" t="s">
        <v>387</v>
      </c>
      <c r="C13" s="158" t="e">
        <f>+'49-CK NSNN'!#REF!</f>
        <v>#REF!</v>
      </c>
      <c r="D13" s="158">
        <v>1780535</v>
      </c>
      <c r="E13" s="158">
        <f>R13</f>
        <v>2065217.088</v>
      </c>
      <c r="F13" s="158" t="e">
        <f t="shared" si="2"/>
        <v>#REF!</v>
      </c>
      <c r="G13" s="173" t="e">
        <f t="shared" si="3"/>
        <v>#REF!</v>
      </c>
      <c r="O13" s="323">
        <f>384055+18500+1120000-100000+200000</f>
        <v>1622555</v>
      </c>
      <c r="P13" s="323">
        <f>+Z13+Z15+Z20+Z25+Z33+Z32-200000</f>
        <v>442662.08799999999</v>
      </c>
      <c r="R13" s="323">
        <f t="shared" ref="R13:R28" si="4">+Q13+P13+O13</f>
        <v>2065217.088</v>
      </c>
      <c r="X13" t="s">
        <v>1156</v>
      </c>
      <c r="Y13" s="193">
        <v>67580</v>
      </c>
      <c r="Z13" s="193">
        <f>+Y13+Y14</f>
        <v>69728.088000000003</v>
      </c>
      <c r="AA13" t="s">
        <v>1161</v>
      </c>
      <c r="AB13">
        <v>100</v>
      </c>
    </row>
    <row r="14" spans="1:28" ht="15.75">
      <c r="A14" s="76" t="s">
        <v>22</v>
      </c>
      <c r="B14" s="77" t="s">
        <v>389</v>
      </c>
      <c r="C14" s="158"/>
      <c r="D14" s="158"/>
      <c r="E14" s="158"/>
      <c r="F14" s="158">
        <f t="shared" si="2"/>
        <v>0</v>
      </c>
      <c r="G14" s="173"/>
      <c r="R14" s="323">
        <f t="shared" si="4"/>
        <v>0</v>
      </c>
      <c r="X14" t="s">
        <v>1156</v>
      </c>
      <c r="Y14" s="193">
        <v>2148.0880000000002</v>
      </c>
    </row>
    <row r="15" spans="1:28" ht="15.75">
      <c r="A15" s="76" t="s">
        <v>22</v>
      </c>
      <c r="B15" s="77" t="s">
        <v>390</v>
      </c>
      <c r="C15" s="158"/>
      <c r="D15" s="158"/>
      <c r="E15" s="158"/>
      <c r="F15" s="158">
        <f t="shared" si="2"/>
        <v>0</v>
      </c>
      <c r="G15" s="173"/>
      <c r="R15" s="323">
        <f t="shared" si="4"/>
        <v>0</v>
      </c>
      <c r="X15" t="s">
        <v>1157</v>
      </c>
      <c r="Y15" s="193">
        <v>8002</v>
      </c>
      <c r="Z15" s="193">
        <f>+Y15+Y16+Y17+Y18+Y19</f>
        <v>30934</v>
      </c>
    </row>
    <row r="16" spans="1:28" ht="15.75">
      <c r="A16" s="76" t="s">
        <v>22</v>
      </c>
      <c r="B16" s="77" t="s">
        <v>505</v>
      </c>
      <c r="C16" s="158"/>
      <c r="D16" s="158"/>
      <c r="E16" s="158"/>
      <c r="F16" s="158">
        <f t="shared" si="2"/>
        <v>0</v>
      </c>
      <c r="G16" s="173"/>
      <c r="R16" s="323">
        <f t="shared" si="4"/>
        <v>0</v>
      </c>
      <c r="X16" t="s">
        <v>1157</v>
      </c>
      <c r="Y16" s="193">
        <v>3300</v>
      </c>
    </row>
    <row r="17" spans="1:26" ht="15.75">
      <c r="A17" s="76" t="s">
        <v>22</v>
      </c>
      <c r="B17" s="77" t="s">
        <v>506</v>
      </c>
      <c r="C17" s="158"/>
      <c r="D17" s="158"/>
      <c r="E17" s="158"/>
      <c r="F17" s="158">
        <f t="shared" si="2"/>
        <v>0</v>
      </c>
      <c r="G17" s="173"/>
      <c r="R17" s="323">
        <f t="shared" si="4"/>
        <v>0</v>
      </c>
      <c r="X17" t="s">
        <v>1157</v>
      </c>
      <c r="Y17" s="193">
        <v>3000</v>
      </c>
    </row>
    <row r="18" spans="1:26" ht="15.75">
      <c r="A18" s="76" t="s">
        <v>22</v>
      </c>
      <c r="B18" s="77" t="s">
        <v>507</v>
      </c>
      <c r="C18" s="158"/>
      <c r="D18" s="158"/>
      <c r="E18" s="158"/>
      <c r="F18" s="158">
        <f t="shared" si="2"/>
        <v>0</v>
      </c>
      <c r="G18" s="173"/>
      <c r="R18" s="323">
        <f t="shared" si="4"/>
        <v>0</v>
      </c>
      <c r="X18" t="s">
        <v>1157</v>
      </c>
      <c r="Y18" s="193">
        <v>15182</v>
      </c>
    </row>
    <row r="19" spans="1:26" ht="15.75">
      <c r="A19" s="76" t="s">
        <v>22</v>
      </c>
      <c r="B19" s="77" t="s">
        <v>508</v>
      </c>
      <c r="C19" s="158"/>
      <c r="D19" s="158"/>
      <c r="E19" s="158"/>
      <c r="F19" s="158">
        <f t="shared" si="2"/>
        <v>0</v>
      </c>
      <c r="G19" s="173"/>
      <c r="R19" s="323">
        <f t="shared" si="4"/>
        <v>0</v>
      </c>
      <c r="X19" t="s">
        <v>1157</v>
      </c>
      <c r="Y19" s="193">
        <v>1450</v>
      </c>
    </row>
    <row r="20" spans="1:26" ht="15.75">
      <c r="A20" s="76" t="s">
        <v>22</v>
      </c>
      <c r="B20" s="77" t="s">
        <v>509</v>
      </c>
      <c r="C20" s="158"/>
      <c r="D20" s="158"/>
      <c r="E20" s="158"/>
      <c r="F20" s="158">
        <f t="shared" si="2"/>
        <v>0</v>
      </c>
      <c r="G20" s="173"/>
      <c r="R20" s="323">
        <f t="shared" si="4"/>
        <v>0</v>
      </c>
      <c r="X20" t="s">
        <v>1158</v>
      </c>
      <c r="Y20" s="193">
        <v>12988.665999999999</v>
      </c>
      <c r="Z20" s="193">
        <f>+Y20+Y21+Y22+Y23+Y24</f>
        <v>100000</v>
      </c>
    </row>
    <row r="21" spans="1:26" ht="15.75">
      <c r="A21" s="76" t="s">
        <v>22</v>
      </c>
      <c r="B21" s="77" t="s">
        <v>510</v>
      </c>
      <c r="C21" s="158"/>
      <c r="D21" s="158"/>
      <c r="E21" s="158"/>
      <c r="F21" s="158">
        <f t="shared" si="2"/>
        <v>0</v>
      </c>
      <c r="G21" s="173"/>
      <c r="R21" s="323">
        <f t="shared" si="4"/>
        <v>0</v>
      </c>
      <c r="X21" t="s">
        <v>1158</v>
      </c>
      <c r="Y21" s="193">
        <v>59662.955000000002</v>
      </c>
    </row>
    <row r="22" spans="1:26" ht="15.75">
      <c r="A22" s="76" t="s">
        <v>22</v>
      </c>
      <c r="B22" s="77" t="s">
        <v>511</v>
      </c>
      <c r="C22" s="158"/>
      <c r="D22" s="158"/>
      <c r="E22" s="158"/>
      <c r="F22" s="158">
        <f t="shared" si="2"/>
        <v>0</v>
      </c>
      <c r="G22" s="173"/>
      <c r="R22" s="323">
        <f t="shared" si="4"/>
        <v>0</v>
      </c>
      <c r="X22" t="s">
        <v>1158</v>
      </c>
      <c r="Y22" s="193">
        <v>23334.308000000001</v>
      </c>
    </row>
    <row r="23" spans="1:26" ht="15.75">
      <c r="A23" s="76" t="s">
        <v>22</v>
      </c>
      <c r="B23" s="77" t="s">
        <v>512</v>
      </c>
      <c r="C23" s="158"/>
      <c r="D23" s="158"/>
      <c r="E23" s="158"/>
      <c r="F23" s="158">
        <f t="shared" si="2"/>
        <v>0</v>
      </c>
      <c r="G23" s="173"/>
      <c r="R23" s="323">
        <f t="shared" si="4"/>
        <v>0</v>
      </c>
      <c r="X23" t="s">
        <v>1158</v>
      </c>
      <c r="Y23" s="193">
        <v>710.697</v>
      </c>
    </row>
    <row r="24" spans="1:26" ht="31.5">
      <c r="A24" s="76" t="s">
        <v>22</v>
      </c>
      <c r="B24" s="77" t="s">
        <v>513</v>
      </c>
      <c r="C24" s="158"/>
      <c r="D24" s="158"/>
      <c r="E24" s="158"/>
      <c r="F24" s="158">
        <f t="shared" si="2"/>
        <v>0</v>
      </c>
      <c r="G24" s="173"/>
      <c r="R24" s="323">
        <f t="shared" si="4"/>
        <v>0</v>
      </c>
      <c r="X24" t="s">
        <v>1158</v>
      </c>
      <c r="Y24" s="193">
        <v>3303.3739999999998</v>
      </c>
    </row>
    <row r="25" spans="1:26" ht="15.75">
      <c r="A25" s="76" t="s">
        <v>22</v>
      </c>
      <c r="B25" s="77" t="s">
        <v>514</v>
      </c>
      <c r="C25" s="158"/>
      <c r="D25" s="158"/>
      <c r="E25" s="158"/>
      <c r="F25" s="158">
        <f t="shared" si="2"/>
        <v>0</v>
      </c>
      <c r="G25" s="173"/>
      <c r="R25" s="323">
        <f t="shared" si="4"/>
        <v>0</v>
      </c>
      <c r="X25" t="s">
        <v>1159</v>
      </c>
      <c r="Y25" s="193">
        <v>18000</v>
      </c>
      <c r="Z25" s="193">
        <f>+Y25+Y26+Y27+Y28+Y29+Y30</f>
        <v>28000</v>
      </c>
    </row>
    <row r="26" spans="1:26" ht="15.75">
      <c r="A26" s="76" t="s">
        <v>22</v>
      </c>
      <c r="B26" s="77" t="s">
        <v>515</v>
      </c>
      <c r="C26" s="158"/>
      <c r="D26" s="158"/>
      <c r="E26" s="158"/>
      <c r="F26" s="158">
        <f t="shared" si="2"/>
        <v>0</v>
      </c>
      <c r="G26" s="173"/>
      <c r="R26" s="323">
        <f t="shared" si="4"/>
        <v>0</v>
      </c>
      <c r="X26" t="s">
        <v>1159</v>
      </c>
      <c r="Y26" s="193">
        <v>3200</v>
      </c>
    </row>
    <row r="27" spans="1:26" ht="63">
      <c r="A27" s="76">
        <v>2</v>
      </c>
      <c r="B27" s="77" t="s">
        <v>394</v>
      </c>
      <c r="C27" s="158" t="e">
        <f>+'49-CK NSNN'!#REF!</f>
        <v>#REF!</v>
      </c>
      <c r="D27" s="158"/>
      <c r="E27" s="158"/>
      <c r="F27" s="158" t="e">
        <f t="shared" si="2"/>
        <v>#REF!</v>
      </c>
      <c r="G27" s="173"/>
      <c r="R27" s="323">
        <f t="shared" si="4"/>
        <v>0</v>
      </c>
      <c r="X27" t="s">
        <v>1159</v>
      </c>
      <c r="Y27" s="193">
        <v>800</v>
      </c>
    </row>
    <row r="28" spans="1:26" ht="15.75">
      <c r="A28" s="76">
        <v>3</v>
      </c>
      <c r="B28" s="77" t="s">
        <v>395</v>
      </c>
      <c r="C28" s="158" t="e">
        <f>+'49-CK NSNN'!#REF!</f>
        <v>#REF!</v>
      </c>
      <c r="D28" s="158"/>
      <c r="E28" s="158"/>
      <c r="F28" s="158" t="e">
        <f t="shared" si="2"/>
        <v>#REF!</v>
      </c>
      <c r="G28" s="173"/>
      <c r="R28" s="323">
        <f t="shared" si="4"/>
        <v>0</v>
      </c>
      <c r="X28" t="s">
        <v>1159</v>
      </c>
      <c r="Y28" s="193">
        <v>1000</v>
      </c>
    </row>
    <row r="29" spans="1:26" ht="15.75">
      <c r="A29" s="74" t="s">
        <v>70</v>
      </c>
      <c r="B29" s="75" t="s">
        <v>96</v>
      </c>
      <c r="C29" s="168" t="e">
        <f>C30+C33+C34+C35+C36+C37+C38+C39+C40+C41+C42+C43+C44</f>
        <v>#REF!</v>
      </c>
      <c r="D29" s="168">
        <f t="shared" ref="D29:E29" si="5">D30+D33+D34+D35+D36+D37+D38+D39+D40+D41+D42+D43+D44</f>
        <v>1656889</v>
      </c>
      <c r="E29" s="168">
        <f t="shared" si="5"/>
        <v>2497166.8699569996</v>
      </c>
      <c r="F29" s="168" t="e">
        <f t="shared" si="2"/>
        <v>#REF!</v>
      </c>
      <c r="G29" s="169" t="e">
        <f t="shared" si="3"/>
        <v>#REF!</v>
      </c>
      <c r="I29" s="327">
        <f>I30+I33+I34+I35+I36+I37+I38+I39+I40+I41+I42+I43+I44</f>
        <v>1356252</v>
      </c>
      <c r="J29" s="327">
        <f t="shared" ref="J29:V29" si="6">J30+J33+J34+J35+J36+J37+J38+J39+J40+J41+J42+J43+J44</f>
        <v>0</v>
      </c>
      <c r="K29" s="327">
        <f t="shared" si="6"/>
        <v>280551.32799999998</v>
      </c>
      <c r="L29" s="327">
        <f t="shared" si="6"/>
        <v>250121</v>
      </c>
      <c r="M29" s="327">
        <f t="shared" si="6"/>
        <v>47097.540999999997</v>
      </c>
      <c r="N29" s="327">
        <f t="shared" si="6"/>
        <v>270588.00095699995</v>
      </c>
      <c r="O29" s="327">
        <f t="shared" si="6"/>
        <v>300075</v>
      </c>
      <c r="P29" s="327">
        <f t="shared" si="6"/>
        <v>137524</v>
      </c>
      <c r="Q29" s="327">
        <f t="shared" si="6"/>
        <v>-145</v>
      </c>
      <c r="R29" s="327">
        <f t="shared" si="6"/>
        <v>2497166.8699569996</v>
      </c>
      <c r="S29" s="327">
        <f t="shared" si="6"/>
        <v>150</v>
      </c>
      <c r="T29" s="327">
        <f t="shared" si="6"/>
        <v>6315</v>
      </c>
      <c r="U29" s="327">
        <f t="shared" si="6"/>
        <v>68018</v>
      </c>
      <c r="V29" s="327">
        <f t="shared" si="6"/>
        <v>76879</v>
      </c>
      <c r="W29" s="422"/>
      <c r="X29" t="s">
        <v>1159</v>
      </c>
      <c r="Y29" s="193">
        <v>2000</v>
      </c>
    </row>
    <row r="30" spans="1:26" ht="15.75">
      <c r="A30" s="76" t="s">
        <v>22</v>
      </c>
      <c r="B30" s="77" t="s">
        <v>389</v>
      </c>
      <c r="C30" s="158" t="e">
        <f>'49-CK NSNN'!#REF!</f>
        <v>#REF!</v>
      </c>
      <c r="D30" s="158">
        <v>339785</v>
      </c>
      <c r="E30" s="158">
        <f>E31+E32</f>
        <v>501206.15899999999</v>
      </c>
      <c r="F30" s="158" t="e">
        <f t="shared" si="2"/>
        <v>#REF!</v>
      </c>
      <c r="G30" s="169" t="e">
        <f t="shared" si="3"/>
        <v>#REF!</v>
      </c>
      <c r="I30" s="323">
        <f>+I31+I32</f>
        <v>475626</v>
      </c>
      <c r="K30" s="323">
        <f>+K31+K32</f>
        <v>12262.159</v>
      </c>
      <c r="L30" s="323">
        <v>24100</v>
      </c>
      <c r="R30" s="323">
        <f>+Q30+P30+O30+N30+M30+L30+K30+J30+I30-U30-V30</f>
        <v>501206.15899999999</v>
      </c>
      <c r="U30" s="323">
        <v>6930</v>
      </c>
      <c r="V30" s="323">
        <f>511818-476936-24100-U30</f>
        <v>3852</v>
      </c>
      <c r="X30" t="s">
        <v>1159</v>
      </c>
      <c r="Y30" s="193">
        <v>3000</v>
      </c>
    </row>
    <row r="31" spans="1:26" ht="15.75">
      <c r="A31" s="76"/>
      <c r="B31" s="77" t="s">
        <v>1153</v>
      </c>
      <c r="C31" s="158"/>
      <c r="D31" s="158"/>
      <c r="E31" s="158">
        <f t="shared" ref="E31:E44" si="7">R31</f>
        <v>340855</v>
      </c>
      <c r="F31" s="158"/>
      <c r="G31" s="173"/>
      <c r="I31" s="323">
        <v>351637</v>
      </c>
      <c r="R31" s="323">
        <f t="shared" ref="R31:R48" si="8">+Q31+P31+O31+N31+M31+L31+K31+J31+I31-U31-V31</f>
        <v>340855</v>
      </c>
      <c r="U31" s="323">
        <v>6930</v>
      </c>
      <c r="V31" s="323">
        <f>511818-476936-24100-U31</f>
        <v>3852</v>
      </c>
    </row>
    <row r="32" spans="1:26" ht="15.75">
      <c r="A32" s="76"/>
      <c r="B32" s="77" t="s">
        <v>1154</v>
      </c>
      <c r="C32" s="158"/>
      <c r="D32" s="158"/>
      <c r="E32" s="158">
        <f t="shared" si="7"/>
        <v>160351.15899999999</v>
      </c>
      <c r="F32" s="158"/>
      <c r="G32" s="173"/>
      <c r="I32" s="323">
        <f>123819+170</f>
        <v>123989</v>
      </c>
      <c r="K32" s="323">
        <v>12262.159</v>
      </c>
      <c r="L32" s="323">
        <v>24100</v>
      </c>
      <c r="R32" s="323">
        <f>+Q32+P32+O32+N32+M32+L32+K32+J32+I32-U32-V32</f>
        <v>160351.15899999999</v>
      </c>
      <c r="X32" t="s">
        <v>1160</v>
      </c>
      <c r="Y32" s="193">
        <v>200000</v>
      </c>
      <c r="Z32" s="193">
        <f>+Y32</f>
        <v>200000</v>
      </c>
    </row>
    <row r="33" spans="1:26" ht="15.75">
      <c r="A33" s="76" t="s">
        <v>22</v>
      </c>
      <c r="B33" s="77" t="s">
        <v>429</v>
      </c>
      <c r="C33" s="158" t="e">
        <f>'49-CK NSNN'!#REF!</f>
        <v>#REF!</v>
      </c>
      <c r="D33" s="158">
        <v>16544</v>
      </c>
      <c r="E33" s="158">
        <f t="shared" si="7"/>
        <v>24616.422999999999</v>
      </c>
      <c r="F33" s="158" t="e">
        <f t="shared" si="2"/>
        <v>#REF!</v>
      </c>
      <c r="G33" s="173" t="e">
        <f t="shared" si="3"/>
        <v>#REF!</v>
      </c>
      <c r="I33" s="323">
        <v>25960</v>
      </c>
      <c r="K33" s="323">
        <v>1252.423</v>
      </c>
      <c r="R33" s="323">
        <f t="shared" si="8"/>
        <v>24616.422999999999</v>
      </c>
      <c r="V33" s="323">
        <f>27212-24616</f>
        <v>2596</v>
      </c>
      <c r="X33" t="s">
        <v>1162</v>
      </c>
      <c r="Y33" s="193">
        <v>25000</v>
      </c>
      <c r="Z33" s="193">
        <f>+Y33+Y34+Y35</f>
        <v>214000</v>
      </c>
    </row>
    <row r="34" spans="1:26" ht="15.75">
      <c r="A34" s="76" t="s">
        <v>22</v>
      </c>
      <c r="B34" s="77" t="s">
        <v>505</v>
      </c>
      <c r="C34" s="158" t="e">
        <f>'49-CK NSNN'!#REF!</f>
        <v>#REF!</v>
      </c>
      <c r="D34" s="158">
        <v>34915</v>
      </c>
      <c r="E34" s="158">
        <f t="shared" si="7"/>
        <v>56308.992946999999</v>
      </c>
      <c r="F34" s="158" t="e">
        <f t="shared" si="2"/>
        <v>#REF!</v>
      </c>
      <c r="G34" s="173" t="e">
        <f t="shared" si="3"/>
        <v>#REF!</v>
      </c>
      <c r="L34" s="323">
        <v>42669</v>
      </c>
      <c r="M34" s="323">
        <f>47.091+1215</f>
        <v>1262.0909999999999</v>
      </c>
      <c r="N34" s="323">
        <f>13623.181947+79.64+1185.08</f>
        <v>14887.901946999998</v>
      </c>
      <c r="R34" s="323">
        <f t="shared" si="8"/>
        <v>56308.992946999999</v>
      </c>
      <c r="V34" s="323">
        <f>58819-56309</f>
        <v>2510</v>
      </c>
      <c r="X34" t="s">
        <v>1162</v>
      </c>
      <c r="Y34" s="193">
        <v>142400</v>
      </c>
    </row>
    <row r="35" spans="1:26" ht="15.75">
      <c r="A35" s="76" t="s">
        <v>22</v>
      </c>
      <c r="B35" s="77" t="s">
        <v>506</v>
      </c>
      <c r="C35" s="158" t="e">
        <f>'49-CK NSNN'!#REF!</f>
        <v>#REF!</v>
      </c>
      <c r="D35" s="158">
        <v>2545</v>
      </c>
      <c r="E35" s="158">
        <f t="shared" si="7"/>
        <v>7684.25</v>
      </c>
      <c r="F35" s="158" t="e">
        <f t="shared" si="2"/>
        <v>#REF!</v>
      </c>
      <c r="G35" s="173" t="e">
        <f t="shared" si="3"/>
        <v>#REF!</v>
      </c>
      <c r="L35" s="323">
        <v>7430</v>
      </c>
      <c r="M35" s="323">
        <v>180</v>
      </c>
      <c r="N35" s="323">
        <f>561.6+259.65</f>
        <v>821.25</v>
      </c>
      <c r="R35" s="323">
        <f t="shared" si="8"/>
        <v>7684.25</v>
      </c>
      <c r="S35" s="323">
        <v>50</v>
      </c>
      <c r="V35" s="323">
        <f>8431-7684</f>
        <v>747</v>
      </c>
      <c r="X35" t="s">
        <v>1162</v>
      </c>
      <c r="Y35" s="193">
        <v>46600</v>
      </c>
    </row>
    <row r="36" spans="1:26" ht="15.75">
      <c r="A36" s="76" t="s">
        <v>22</v>
      </c>
      <c r="B36" s="77" t="s">
        <v>507</v>
      </c>
      <c r="C36" s="158" t="e">
        <f>'49-CK NSNN'!#REF!</f>
        <v>#REF!</v>
      </c>
      <c r="D36" s="158">
        <v>432630</v>
      </c>
      <c r="E36" s="158">
        <f t="shared" si="7"/>
        <v>654277.12900999992</v>
      </c>
      <c r="F36" s="158" t="e">
        <f>+E36-C36</f>
        <v>#REF!</v>
      </c>
      <c r="G36" s="173" t="e">
        <f t="shared" si="3"/>
        <v>#REF!</v>
      </c>
      <c r="I36" s="323">
        <v>301246</v>
      </c>
      <c r="K36" s="323">
        <v>57974.91</v>
      </c>
      <c r="L36" s="323">
        <v>7960</v>
      </c>
      <c r="N36" s="323">
        <f>'Cac DT BHYT'!D22</f>
        <v>242096.21900999994</v>
      </c>
      <c r="O36" s="323">
        <v>50000</v>
      </c>
      <c r="R36" s="323">
        <f>+Q36+P36+O36+N36+M36+L36+K36+J36+I36-U36-V36</f>
        <v>654277.12900999992</v>
      </c>
      <c r="U36" s="323">
        <v>5000</v>
      </c>
      <c r="V36" s="323">
        <f>301246-296246-5000+(57975-57542-433)</f>
        <v>0</v>
      </c>
    </row>
    <row r="37" spans="1:26" ht="15.75">
      <c r="A37" s="76" t="s">
        <v>22</v>
      </c>
      <c r="B37" s="77" t="s">
        <v>508</v>
      </c>
      <c r="C37" s="158" t="e">
        <f>'49-CK NSNN'!#REF!</f>
        <v>#REF!</v>
      </c>
      <c r="D37" s="158">
        <v>23234</v>
      </c>
      <c r="E37" s="158">
        <f t="shared" si="7"/>
        <v>30941.8</v>
      </c>
      <c r="F37" s="158" t="e">
        <f t="shared" si="2"/>
        <v>#REF!</v>
      </c>
      <c r="G37" s="173" t="e">
        <f t="shared" si="3"/>
        <v>#REF!</v>
      </c>
      <c r="I37" s="323">
        <v>25335</v>
      </c>
      <c r="K37" s="323">
        <v>5606.8</v>
      </c>
      <c r="R37" s="323">
        <f t="shared" si="8"/>
        <v>30941.8</v>
      </c>
    </row>
    <row r="38" spans="1:26" ht="15.75">
      <c r="A38" s="76" t="s">
        <v>22</v>
      </c>
      <c r="B38" s="77" t="s">
        <v>509</v>
      </c>
      <c r="C38" s="158" t="e">
        <f>'49-CK NSNN'!#REF!</f>
        <v>#REF!</v>
      </c>
      <c r="D38" s="158">
        <v>7808</v>
      </c>
      <c r="E38" s="158">
        <f t="shared" si="7"/>
        <v>9500</v>
      </c>
      <c r="F38" s="158" t="e">
        <f t="shared" si="2"/>
        <v>#REF!</v>
      </c>
      <c r="G38" s="173" t="e">
        <f t="shared" si="3"/>
        <v>#REF!</v>
      </c>
      <c r="I38" s="323">
        <v>9500</v>
      </c>
      <c r="R38" s="323">
        <f t="shared" si="8"/>
        <v>9500</v>
      </c>
    </row>
    <row r="39" spans="1:26" ht="15.75">
      <c r="A39" s="76" t="s">
        <v>22</v>
      </c>
      <c r="B39" s="77" t="s">
        <v>510</v>
      </c>
      <c r="C39" s="158" t="e">
        <f>'49-CK NSNN'!#REF!</f>
        <v>#REF!</v>
      </c>
      <c r="D39" s="158">
        <v>13346</v>
      </c>
      <c r="E39" s="158">
        <f t="shared" si="7"/>
        <v>17624.913</v>
      </c>
      <c r="F39" s="158" t="e">
        <f t="shared" si="2"/>
        <v>#REF!</v>
      </c>
      <c r="G39" s="173" t="e">
        <f t="shared" si="3"/>
        <v>#REF!</v>
      </c>
      <c r="I39" s="323">
        <v>14120</v>
      </c>
      <c r="K39" s="323">
        <v>3593.913</v>
      </c>
      <c r="R39" s="323">
        <f t="shared" si="8"/>
        <v>17624.913</v>
      </c>
      <c r="V39" s="323">
        <f>-17625+17714</f>
        <v>89</v>
      </c>
    </row>
    <row r="40" spans="1:26" ht="15.75">
      <c r="A40" s="76" t="s">
        <v>22</v>
      </c>
      <c r="B40" s="77" t="s">
        <v>511</v>
      </c>
      <c r="C40" s="158" t="e">
        <f>'49-CK NSNN'!#REF!</f>
        <v>#REF!</v>
      </c>
      <c r="D40" s="158">
        <v>12915</v>
      </c>
      <c r="E40" s="158">
        <f t="shared" si="7"/>
        <v>50917.122999999992</v>
      </c>
      <c r="F40" s="158" t="e">
        <f t="shared" si="2"/>
        <v>#REF!</v>
      </c>
      <c r="G40" s="173" t="e">
        <f t="shared" si="3"/>
        <v>#REF!</v>
      </c>
      <c r="I40" s="323">
        <v>46722</v>
      </c>
      <c r="K40" s="323">
        <v>20218.123</v>
      </c>
      <c r="L40" s="323">
        <v>1650</v>
      </c>
      <c r="R40" s="323">
        <f t="shared" si="8"/>
        <v>50917.122999999992</v>
      </c>
      <c r="U40" s="323">
        <v>13000</v>
      </c>
      <c r="V40" s="323">
        <v>4673</v>
      </c>
    </row>
    <row r="41" spans="1:26" ht="15.75">
      <c r="A41" s="76" t="s">
        <v>22</v>
      </c>
      <c r="B41" s="77" t="s">
        <v>512</v>
      </c>
      <c r="C41" s="158" t="e">
        <f>'49-CK NSNN'!#REF!</f>
        <v>#REF!</v>
      </c>
      <c r="D41" s="158">
        <v>386709</v>
      </c>
      <c r="E41" s="158">
        <f t="shared" si="7"/>
        <v>613585.65</v>
      </c>
      <c r="F41" s="158" t="e">
        <f t="shared" si="2"/>
        <v>#REF!</v>
      </c>
      <c r="G41" s="173" t="e">
        <f t="shared" si="3"/>
        <v>#REF!</v>
      </c>
      <c r="I41" s="323">
        <v>198597</v>
      </c>
      <c r="J41" s="323">
        <v>-5000</v>
      </c>
      <c r="K41" s="323">
        <f>120679+18197</f>
        <v>138876</v>
      </c>
      <c r="M41" s="323">
        <f>10953.65</f>
        <v>10953.65</v>
      </c>
      <c r="O41" s="323">
        <f>179203+70872</f>
        <v>250075</v>
      </c>
      <c r="P41" s="323">
        <f>96000+5000</f>
        <v>101000</v>
      </c>
      <c r="R41" s="323">
        <f>+Q41+P41+O41+N41+M41+L41+K41+J41+I41-U41-V41</f>
        <v>613585.65</v>
      </c>
      <c r="T41" s="323">
        <f>308+3500</f>
        <v>3808</v>
      </c>
      <c r="U41" s="323">
        <f>7000+10000+3000</f>
        <v>20000</v>
      </c>
      <c r="V41" s="323">
        <f>7500+1000+2000+50837-421</f>
        <v>60916</v>
      </c>
      <c r="X41" s="494">
        <f>O41-50837</f>
        <v>199238</v>
      </c>
    </row>
    <row r="42" spans="1:26" ht="31.5">
      <c r="A42" s="76" t="s">
        <v>22</v>
      </c>
      <c r="B42" s="77" t="s">
        <v>513</v>
      </c>
      <c r="C42" s="158" t="e">
        <f>'49-CK NSNN'!#REF!</f>
        <v>#REF!</v>
      </c>
      <c r="D42" s="158">
        <v>302104</v>
      </c>
      <c r="E42" s="158">
        <f t="shared" si="7"/>
        <v>423786.4</v>
      </c>
      <c r="F42" s="158" t="e">
        <f t="shared" si="2"/>
        <v>#REF!</v>
      </c>
      <c r="G42" s="173" t="e">
        <f t="shared" si="3"/>
        <v>#REF!</v>
      </c>
      <c r="I42" s="323">
        <v>224496</v>
      </c>
      <c r="K42" s="323">
        <f>8315+28864</f>
        <v>37179</v>
      </c>
      <c r="L42" s="323">
        <f>166231+81</f>
        <v>166312</v>
      </c>
      <c r="M42" s="323">
        <v>6704.4</v>
      </c>
      <c r="P42" s="323">
        <f>423786-420107</f>
        <v>3679</v>
      </c>
      <c r="R42" s="323">
        <f>+Q42+P42+O42+N42+M42+L42+K42+J42+I42-U42-V42</f>
        <v>423786.4</v>
      </c>
      <c r="S42" s="323">
        <v>100</v>
      </c>
      <c r="T42" s="323">
        <f>1456+1051</f>
        <v>2507</v>
      </c>
      <c r="U42" s="323">
        <v>13088</v>
      </c>
      <c r="V42" s="323">
        <f>1487+9</f>
        <v>1496</v>
      </c>
      <c r="X42" s="494">
        <f>+X41/O41</f>
        <v>0.79671298610416874</v>
      </c>
    </row>
    <row r="43" spans="1:26" ht="15.75">
      <c r="A43" s="76" t="s">
        <v>22</v>
      </c>
      <c r="B43" s="77" t="s">
        <v>514</v>
      </c>
      <c r="C43" s="158" t="e">
        <f>'49-CK NSNN'!#REF!</f>
        <v>#REF!</v>
      </c>
      <c r="D43" s="158">
        <v>40790</v>
      </c>
      <c r="E43" s="158">
        <f t="shared" si="7"/>
        <v>43356</v>
      </c>
      <c r="F43" s="158" t="e">
        <f t="shared" si="2"/>
        <v>#REF!</v>
      </c>
      <c r="G43" s="173" t="e">
        <f t="shared" si="3"/>
        <v>#REF!</v>
      </c>
      <c r="I43" s="323">
        <v>34650</v>
      </c>
      <c r="K43" s="323">
        <v>3588</v>
      </c>
      <c r="M43" s="323">
        <f>43356-38238</f>
        <v>5118</v>
      </c>
      <c r="R43" s="323">
        <f t="shared" si="8"/>
        <v>43356</v>
      </c>
    </row>
    <row r="44" spans="1:26" ht="15.75">
      <c r="A44" s="76" t="s">
        <v>22</v>
      </c>
      <c r="B44" s="77" t="s">
        <v>516</v>
      </c>
      <c r="C44" s="158" t="e">
        <f>'49-CK NSNN'!#REF!</f>
        <v>#REF!</v>
      </c>
      <c r="D44" s="158">
        <v>43564</v>
      </c>
      <c r="E44" s="158">
        <f t="shared" si="7"/>
        <v>63362.03</v>
      </c>
      <c r="F44" s="158" t="e">
        <f t="shared" si="2"/>
        <v>#REF!</v>
      </c>
      <c r="G44" s="173" t="e">
        <f t="shared" si="3"/>
        <v>#REF!</v>
      </c>
      <c r="J44" s="323">
        <v>5000</v>
      </c>
      <c r="M44" s="323">
        <f>41+13857.3+10915.1+40-1974</f>
        <v>22879.4</v>
      </c>
      <c r="N44" s="323">
        <f>900+100+20+250+200+50+400+153.2+150+559.43+5000+5000</f>
        <v>12782.63</v>
      </c>
      <c r="P44" s="323">
        <v>32845</v>
      </c>
      <c r="Q44" s="323">
        <f>-507+362</f>
        <v>-145</v>
      </c>
      <c r="R44" s="323">
        <f t="shared" si="8"/>
        <v>63362.03</v>
      </c>
      <c r="U44" s="323">
        <v>10000</v>
      </c>
    </row>
    <row r="45" spans="1:26" s="101" customFormat="1" ht="31.5">
      <c r="A45" s="74" t="s">
        <v>73</v>
      </c>
      <c r="B45" s="420" t="s">
        <v>97</v>
      </c>
      <c r="C45" s="168" t="e">
        <f>'49-CK NSNN'!#REF!</f>
        <v>#REF!</v>
      </c>
      <c r="D45" s="168">
        <v>4131</v>
      </c>
      <c r="E45" s="168">
        <f>'18-Boi chi'!C64</f>
        <v>5783</v>
      </c>
      <c r="F45" s="168" t="e">
        <f t="shared" si="2"/>
        <v>#REF!</v>
      </c>
      <c r="G45" s="169" t="e">
        <f t="shared" si="3"/>
        <v>#REF!</v>
      </c>
      <c r="I45" s="326"/>
      <c r="J45" s="326"/>
      <c r="K45" s="326"/>
      <c r="L45" s="326"/>
      <c r="M45" s="326"/>
      <c r="N45" s="326"/>
      <c r="O45" s="326"/>
      <c r="P45" s="326"/>
      <c r="Q45" s="326"/>
      <c r="R45" s="323">
        <f t="shared" si="8"/>
        <v>0</v>
      </c>
      <c r="S45" s="326"/>
      <c r="T45" s="326"/>
      <c r="U45" s="326"/>
      <c r="V45" s="326"/>
      <c r="W45" s="326"/>
      <c r="Y45" s="331"/>
    </row>
    <row r="46" spans="1:26" s="101" customFormat="1" ht="15.75">
      <c r="A46" s="74" t="s">
        <v>77</v>
      </c>
      <c r="B46" s="420" t="s">
        <v>1301</v>
      </c>
      <c r="C46" s="168" t="e">
        <f>'49-CK NSNN'!#REF!</f>
        <v>#REF!</v>
      </c>
      <c r="D46" s="168"/>
      <c r="E46" s="168" t="e">
        <f>C46</f>
        <v>#REF!</v>
      </c>
      <c r="F46" s="168" t="e">
        <f t="shared" si="2"/>
        <v>#REF!</v>
      </c>
      <c r="G46" s="169" t="e">
        <f t="shared" si="3"/>
        <v>#REF!</v>
      </c>
      <c r="I46" s="326"/>
      <c r="J46" s="326"/>
      <c r="K46" s="326"/>
      <c r="L46" s="326">
        <v>1260</v>
      </c>
      <c r="M46" s="326"/>
      <c r="N46" s="326"/>
      <c r="O46" s="326"/>
      <c r="P46" s="326"/>
      <c r="Q46" s="326"/>
      <c r="R46" s="323">
        <f t="shared" si="8"/>
        <v>1260</v>
      </c>
      <c r="S46" s="326"/>
      <c r="T46" s="326"/>
      <c r="U46" s="326"/>
      <c r="V46" s="326"/>
      <c r="W46" s="326"/>
      <c r="Y46" s="331"/>
    </row>
    <row r="47" spans="1:26" s="101" customFormat="1" ht="15.75">
      <c r="A47" s="74" t="s">
        <v>113</v>
      </c>
      <c r="B47" s="420" t="s">
        <v>241</v>
      </c>
      <c r="C47" s="168" t="e">
        <f>'49-CK NSNN'!#REF!</f>
        <v>#REF!</v>
      </c>
      <c r="D47" s="168"/>
      <c r="E47" s="168"/>
      <c r="F47" s="168" t="e">
        <f t="shared" si="2"/>
        <v>#REF!</v>
      </c>
      <c r="G47" s="169" t="e">
        <f t="shared" si="3"/>
        <v>#REF!</v>
      </c>
      <c r="I47" s="326"/>
      <c r="J47" s="326">
        <v>-33743.872000000003</v>
      </c>
      <c r="K47" s="326"/>
      <c r="L47" s="326"/>
      <c r="M47" s="326">
        <f>-88.0916-10953.65-10982.600349-474.160765-12857.3-5118</f>
        <v>-40473.802714000005</v>
      </c>
      <c r="N47" s="326"/>
      <c r="O47" s="326"/>
      <c r="P47" s="326"/>
      <c r="Q47" s="326"/>
      <c r="R47" s="323">
        <f t="shared" si="8"/>
        <v>-74217.674714000008</v>
      </c>
      <c r="S47" s="326"/>
      <c r="T47" s="326"/>
      <c r="U47" s="326"/>
      <c r="V47" s="326"/>
      <c r="W47" s="326"/>
      <c r="Y47" s="331"/>
    </row>
    <row r="48" spans="1:26" s="101" customFormat="1" ht="15.75">
      <c r="A48" s="74" t="s">
        <v>396</v>
      </c>
      <c r="B48" s="420" t="s">
        <v>98</v>
      </c>
      <c r="C48" s="168" t="e">
        <f>'49-CK NSNN'!#REF!</f>
        <v>#REF!</v>
      </c>
      <c r="D48" s="168"/>
      <c r="E48" s="168"/>
      <c r="F48" s="168" t="e">
        <f t="shared" si="2"/>
        <v>#REF!</v>
      </c>
      <c r="G48" s="169"/>
      <c r="I48" s="326"/>
      <c r="J48" s="326"/>
      <c r="K48" s="326"/>
      <c r="L48" s="326"/>
      <c r="M48" s="326"/>
      <c r="N48" s="326"/>
      <c r="O48" s="326"/>
      <c r="P48" s="326"/>
      <c r="Q48" s="326"/>
      <c r="R48" s="323">
        <f t="shared" si="8"/>
        <v>0</v>
      </c>
      <c r="S48" s="326"/>
      <c r="T48" s="326"/>
      <c r="U48" s="326"/>
      <c r="V48" s="326"/>
      <c r="W48" s="326"/>
      <c r="Y48" s="331"/>
    </row>
    <row r="49" spans="1:25" s="101" customFormat="1" ht="15.75">
      <c r="A49" s="79" t="s">
        <v>79</v>
      </c>
      <c r="B49" s="80" t="s">
        <v>430</v>
      </c>
      <c r="C49" s="172" t="e">
        <f>'49-CK NSNN'!#REF!</f>
        <v>#REF!</v>
      </c>
      <c r="D49" s="172"/>
      <c r="E49" s="172">
        <f>V29</f>
        <v>76879</v>
      </c>
      <c r="F49" s="172" t="e">
        <f t="shared" si="2"/>
        <v>#REF!</v>
      </c>
      <c r="G49" s="170"/>
      <c r="I49" s="326"/>
      <c r="J49" s="326"/>
      <c r="K49" s="326"/>
      <c r="L49" s="326"/>
      <c r="M49" s="326"/>
      <c r="N49" s="326"/>
      <c r="O49" s="326"/>
      <c r="P49" s="326"/>
      <c r="Q49" s="326"/>
      <c r="R49" s="326">
        <f t="shared" ref="R49" si="9">+Q49+P49+O49+N49+M49+L49+K49+J49+I49</f>
        <v>0</v>
      </c>
      <c r="S49" s="326"/>
      <c r="T49" s="326"/>
      <c r="U49" s="326"/>
      <c r="V49" s="326"/>
      <c r="W49" s="326"/>
      <c r="Y49" s="331"/>
    </row>
    <row r="50" spans="1:25" ht="18.75" customHeight="1">
      <c r="A50" s="35" t="s">
        <v>276</v>
      </c>
    </row>
    <row r="51" spans="1:25" ht="15.75">
      <c r="A51" s="780" t="s">
        <v>518</v>
      </c>
      <c r="B51" s="780"/>
      <c r="C51" s="780"/>
      <c r="D51" s="780"/>
      <c r="E51" s="780"/>
      <c r="F51" s="780"/>
      <c r="G51" s="780"/>
    </row>
    <row r="52" spans="1:25" ht="15.75">
      <c r="A52" s="779" t="s">
        <v>517</v>
      </c>
      <c r="B52" s="779"/>
      <c r="C52" s="779"/>
      <c r="D52" s="779"/>
      <c r="E52" s="779"/>
      <c r="F52" s="779"/>
      <c r="G52" s="779"/>
    </row>
    <row r="56" spans="1:25">
      <c r="C56" s="193" t="e">
        <f>'22 - DG chi T+H2017'!D49</f>
        <v>#REF!</v>
      </c>
    </row>
    <row r="57" spans="1:25">
      <c r="C57" s="193" t="e">
        <f>+C11+C56</f>
        <v>#REF!</v>
      </c>
    </row>
  </sheetData>
  <customSheetViews>
    <customSheetView guid="{9F606621-8853-4836-9A7E-DBA5CF152671}" scale="75" showPageBreaks="1" printArea="1" topLeftCell="B1">
      <selection activeCell="K13" sqref="K13"/>
      <pageMargins left="0.70866141732283472" right="0.70866141732283472" top="0.74803149606299213" bottom="0.74803149606299213" header="0.31496062992125984" footer="0.31496062992125984"/>
      <printOptions horizontalCentered="1"/>
      <pageSetup paperSize="9" scale="75" orientation="portrait" r:id="rId1"/>
    </customSheetView>
    <customSheetView guid="{DB9039ED-C6EA-422D-9A5D-D152D95EDC67}" showPageBreaks="1" printArea="1" hiddenRows="1" hiddenColumns="1" topLeftCell="A5">
      <pane xSplit="2" ySplit="4" topLeftCell="C30" activePane="bottomRight" state="frozen"/>
      <selection pane="bottomRight" activeCell="E9" sqref="E9"/>
      <pageMargins left="0.9055118110236221" right="0.70866141732283472" top="0.74803149606299213" bottom="0.74803149606299213" header="0.31496062992125984" footer="0.31496062992125984"/>
      <printOptions horizontalCentered="1"/>
      <pageSetup paperSize="9" scale="85" orientation="portrait" r:id="rId2"/>
    </customSheetView>
  </customSheetViews>
  <mergeCells count="14">
    <mergeCell ref="A52:G52"/>
    <mergeCell ref="A51:G51"/>
    <mergeCell ref="A3:G3"/>
    <mergeCell ref="A4:G4"/>
    <mergeCell ref="A6:A7"/>
    <mergeCell ref="B6:B7"/>
    <mergeCell ref="C6:C7"/>
    <mergeCell ref="E6:E7"/>
    <mergeCell ref="F6:G6"/>
    <mergeCell ref="S7:T7"/>
    <mergeCell ref="I6:Q6"/>
    <mergeCell ref="I7:K7"/>
    <mergeCell ref="L7:N7"/>
    <mergeCell ref="O7:Q7"/>
  </mergeCells>
  <printOptions horizontalCentered="1"/>
  <pageMargins left="0.70866141732283472" right="0.70866141732283472" top="0.74803149606299213" bottom="0.74803149606299213" header="0.31496062992125984" footer="0.31496062992125984"/>
  <pageSetup paperSize="9" scale="75" orientation="portrait" r:id="rId3"/>
  <legacyDrawing r:id="rId4"/>
</worksheet>
</file>

<file path=xl/worksheets/sheet25.xml><?xml version="1.0" encoding="utf-8"?>
<worksheet xmlns="http://schemas.openxmlformats.org/spreadsheetml/2006/main" xmlns:r="http://schemas.openxmlformats.org/officeDocument/2006/relationships">
  <dimension ref="A1:K78"/>
  <sheetViews>
    <sheetView topLeftCell="A7" workbookViewId="0">
      <selection activeCell="B11" sqref="B11"/>
    </sheetView>
  </sheetViews>
  <sheetFormatPr defaultRowHeight="15"/>
  <cols>
    <col min="1" max="1" width="5.5703125" customWidth="1"/>
    <col min="2" max="2" width="36.5703125" customWidth="1"/>
    <col min="3" max="3" width="11.28515625" customWidth="1"/>
    <col min="4" max="4" width="11.42578125" customWidth="1"/>
    <col min="5" max="5" width="11" customWidth="1"/>
  </cols>
  <sheetData>
    <row r="1" spans="1:11" ht="15.75">
      <c r="K1" s="26" t="s">
        <v>519</v>
      </c>
    </row>
    <row r="2" spans="1:11" ht="15.75">
      <c r="A2" s="781" t="s">
        <v>837</v>
      </c>
      <c r="B2" s="781"/>
      <c r="C2" s="781"/>
      <c r="D2" s="781"/>
      <c r="E2" s="781"/>
      <c r="F2" s="781"/>
      <c r="G2" s="781"/>
      <c r="H2" s="781"/>
      <c r="I2" s="781"/>
      <c r="J2" s="781"/>
      <c r="K2" s="781"/>
    </row>
    <row r="3" spans="1:11" ht="15.75">
      <c r="A3" s="774"/>
      <c r="B3" s="774"/>
      <c r="C3" s="774"/>
      <c r="D3" s="774"/>
      <c r="E3" s="774"/>
      <c r="F3" s="774"/>
      <c r="G3" s="774"/>
      <c r="H3" s="774"/>
      <c r="I3" s="774"/>
      <c r="J3" s="774"/>
      <c r="K3" s="774"/>
    </row>
    <row r="4" spans="1:11" ht="15.75">
      <c r="K4" s="27" t="s">
        <v>56</v>
      </c>
    </row>
    <row r="5" spans="1:11" ht="29.25" customHeight="1">
      <c r="A5" s="773" t="s">
        <v>3</v>
      </c>
      <c r="B5" s="773" t="s">
        <v>161</v>
      </c>
      <c r="C5" s="773" t="s">
        <v>130</v>
      </c>
      <c r="D5" s="773" t="s">
        <v>504</v>
      </c>
      <c r="E5" s="773" t="s">
        <v>96</v>
      </c>
      <c r="F5" s="773" t="s">
        <v>520</v>
      </c>
      <c r="G5" s="773" t="s">
        <v>521</v>
      </c>
      <c r="H5" s="773" t="s">
        <v>522</v>
      </c>
      <c r="I5" s="773"/>
      <c r="J5" s="773"/>
      <c r="K5" s="773" t="s">
        <v>523</v>
      </c>
    </row>
    <row r="6" spans="1:11" ht="108" customHeight="1">
      <c r="A6" s="773"/>
      <c r="B6" s="773"/>
      <c r="C6" s="773"/>
      <c r="D6" s="773"/>
      <c r="E6" s="773"/>
      <c r="F6" s="773"/>
      <c r="G6" s="773"/>
      <c r="H6" s="30" t="s">
        <v>130</v>
      </c>
      <c r="I6" s="30" t="s">
        <v>340</v>
      </c>
      <c r="J6" s="30" t="s">
        <v>96</v>
      </c>
      <c r="K6" s="773"/>
    </row>
    <row r="7" spans="1:11" ht="15.75">
      <c r="A7" s="30" t="s">
        <v>15</v>
      </c>
      <c r="B7" s="30" t="s">
        <v>16</v>
      </c>
      <c r="C7" s="30">
        <v>1</v>
      </c>
      <c r="D7" s="30">
        <v>2</v>
      </c>
      <c r="E7" s="30">
        <v>3</v>
      </c>
      <c r="F7" s="30">
        <v>4</v>
      </c>
      <c r="G7" s="30">
        <v>5</v>
      </c>
      <c r="H7" s="30">
        <v>6</v>
      </c>
      <c r="I7" s="30">
        <v>7</v>
      </c>
      <c r="J7" s="30">
        <v>8</v>
      </c>
      <c r="K7" s="30">
        <v>9</v>
      </c>
    </row>
    <row r="8" spans="1:11" s="101" customFormat="1" ht="15.75">
      <c r="A8" s="71"/>
      <c r="B8" s="72" t="str">
        <f>'51- CK NSNN- bo'!B9</f>
        <v>TỔNG SỐ</v>
      </c>
      <c r="C8" s="167">
        <f>C9+C71+C72+C73+C74</f>
        <v>4562382.622374</v>
      </c>
      <c r="D8" s="167">
        <f>D9+D71+D72+D73+D74</f>
        <v>2065216</v>
      </c>
      <c r="E8" s="167">
        <f t="shared" ref="E8:K8" si="0">E9+E71+E72+E73+E74</f>
        <v>2497166.622374</v>
      </c>
      <c r="F8" s="167">
        <f t="shared" si="0"/>
        <v>5783</v>
      </c>
      <c r="G8" s="167">
        <f t="shared" si="0"/>
        <v>1260</v>
      </c>
      <c r="H8" s="167">
        <f t="shared" si="0"/>
        <v>0</v>
      </c>
      <c r="I8" s="167">
        <f t="shared" si="0"/>
        <v>0</v>
      </c>
      <c r="J8" s="167">
        <f t="shared" si="0"/>
        <v>0</v>
      </c>
      <c r="K8" s="167">
        <f t="shared" si="0"/>
        <v>0</v>
      </c>
    </row>
    <row r="9" spans="1:11" s="101" customFormat="1" ht="15.75">
      <c r="A9" s="74" t="str">
        <f>'51- CK NSNN- bo'!A10</f>
        <v>I</v>
      </c>
      <c r="B9" s="442" t="str">
        <f>'51- CK NSNN- bo'!B10</f>
        <v>CÁC CƠ QUAN, TỔ CHỨC</v>
      </c>
      <c r="C9" s="168">
        <f>C10+C34+C45+C49+C50</f>
        <v>4562382.622374</v>
      </c>
      <c r="D9" s="168">
        <f>D10+D34+D45+D49+D50</f>
        <v>2065216</v>
      </c>
      <c r="E9" s="168">
        <f t="shared" ref="E9:K9" si="1">E10+E34+E45+E49+E50</f>
        <v>2497166.622374</v>
      </c>
      <c r="F9" s="168">
        <f t="shared" si="1"/>
        <v>0</v>
      </c>
      <c r="G9" s="168">
        <f t="shared" si="1"/>
        <v>0</v>
      </c>
      <c r="H9" s="168">
        <f t="shared" si="1"/>
        <v>0</v>
      </c>
      <c r="I9" s="168">
        <f t="shared" si="1"/>
        <v>0</v>
      </c>
      <c r="J9" s="168">
        <f t="shared" si="1"/>
        <v>0</v>
      </c>
      <c r="K9" s="168">
        <f t="shared" si="1"/>
        <v>0</v>
      </c>
    </row>
    <row r="10" spans="1:11" s="101" customFormat="1" ht="15.75">
      <c r="A10" s="74" t="str">
        <f>'51- CK NSNN- bo'!A11</f>
        <v>I.1</v>
      </c>
      <c r="B10" s="222" t="e">
        <f>'51- CK NSNN- bo'!B11</f>
        <v>#REF!</v>
      </c>
      <c r="C10" s="168">
        <f>SUM(C11:C33)</f>
        <v>3908788.7660000003</v>
      </c>
      <c r="D10" s="168">
        <f>SUM(D11:D33)</f>
        <v>1995148</v>
      </c>
      <c r="E10" s="168">
        <f t="shared" ref="E10:K10" si="2">SUM(E11:E33)</f>
        <v>1913640.7660000001</v>
      </c>
      <c r="F10" s="168">
        <f t="shared" si="2"/>
        <v>0</v>
      </c>
      <c r="G10" s="168">
        <f t="shared" si="2"/>
        <v>0</v>
      </c>
      <c r="H10" s="168">
        <f t="shared" si="2"/>
        <v>0</v>
      </c>
      <c r="I10" s="168">
        <f t="shared" si="2"/>
        <v>0</v>
      </c>
      <c r="J10" s="168">
        <f t="shared" si="2"/>
        <v>0</v>
      </c>
      <c r="K10" s="168">
        <f t="shared" si="2"/>
        <v>0</v>
      </c>
    </row>
    <row r="11" spans="1:11" ht="15.75">
      <c r="A11" s="76">
        <f>'51- CK NSNN- bo'!A12</f>
        <v>0</v>
      </c>
      <c r="B11" s="221" t="str">
        <f>'51- CK NSNN- bo'!B12</f>
        <v xml:space="preserve">TỔNG SỐ </v>
      </c>
      <c r="C11" s="158">
        <f>+D11+E11+F11+G11+H11</f>
        <v>9295.36</v>
      </c>
      <c r="D11" s="158">
        <f>'25-DG chi DT tung co quan T'!C11</f>
        <v>0</v>
      </c>
      <c r="E11" s="158">
        <f>'26-DG chiTX tungCQ T'!C10</f>
        <v>9295.36</v>
      </c>
      <c r="F11" s="158"/>
      <c r="G11" s="158"/>
      <c r="H11" s="158"/>
      <c r="I11" s="158"/>
      <c r="J11" s="158"/>
      <c r="K11" s="158"/>
    </row>
    <row r="12" spans="1:11" ht="15.75">
      <c r="A12" s="76" t="str">
        <f>'51- CK NSNN- bo'!A13</f>
        <v>A</v>
      </c>
      <c r="B12" s="221" t="str">
        <f>'51- CK NSNN- bo'!B13</f>
        <v>Chi Quản lý Nhà nước</v>
      </c>
      <c r="C12" s="158">
        <f t="shared" ref="C12:C44" si="3">+D12+E12+F12+G12+H12</f>
        <v>15217.6</v>
      </c>
      <c r="D12" s="158">
        <f>'25-DG chi DT tung co quan T'!C12</f>
        <v>0</v>
      </c>
      <c r="E12" s="158">
        <f>'26-DG chiTX tungCQ T'!C11</f>
        <v>15217.6</v>
      </c>
      <c r="F12" s="158"/>
      <c r="G12" s="158"/>
      <c r="H12" s="158"/>
      <c r="I12" s="158"/>
      <c r="J12" s="158"/>
      <c r="K12" s="158"/>
    </row>
    <row r="13" spans="1:11" ht="15.75">
      <c r="A13" s="76" t="str">
        <f>'51- CK NSNN- bo'!A14</f>
        <v>I</v>
      </c>
      <c r="B13" s="221" t="str">
        <f>'51- CK NSNN- bo'!B14</f>
        <v>Chi Quản lý hành chính</v>
      </c>
      <c r="C13" s="158">
        <f t="shared" si="3"/>
        <v>452116.56599999999</v>
      </c>
      <c r="D13" s="158">
        <f>'25-DG chi DT tung co quan T'!C13</f>
        <v>46682</v>
      </c>
      <c r="E13" s="158">
        <f>'26-DG chiTX tungCQ T'!C14</f>
        <v>405434.56599999999</v>
      </c>
      <c r="F13" s="158"/>
      <c r="G13" s="158"/>
      <c r="H13" s="158"/>
      <c r="I13" s="158"/>
      <c r="J13" s="158"/>
      <c r="K13" s="158"/>
    </row>
    <row r="14" spans="1:11" ht="15.75">
      <c r="A14" s="76">
        <f>'51- CK NSNN- bo'!A15</f>
        <v>1</v>
      </c>
      <c r="B14" s="221" t="str">
        <f>'51- CK NSNN- bo'!B15</f>
        <v>Văn phòng Hội đồng nhân dân tỉnh</v>
      </c>
      <c r="C14" s="158">
        <f t="shared" si="3"/>
        <v>8156.9719999999998</v>
      </c>
      <c r="D14" s="158">
        <f>'25-DG chi DT tung co quan T'!C14</f>
        <v>0</v>
      </c>
      <c r="E14" s="158">
        <f>'26-DG chiTX tungCQ T'!C22</f>
        <v>8156.9719999999998</v>
      </c>
      <c r="F14" s="158"/>
      <c r="G14" s="158"/>
      <c r="H14" s="158"/>
      <c r="I14" s="158"/>
      <c r="J14" s="158"/>
      <c r="K14" s="158"/>
    </row>
    <row r="15" spans="1:11" ht="15.75">
      <c r="A15" s="76">
        <f>'51- CK NSNN- bo'!A16</f>
        <v>2</v>
      </c>
      <c r="B15" s="221" t="str">
        <f>'51- CK NSNN- bo'!B16</f>
        <v>Văn phòng UBND tỉnh</v>
      </c>
      <c r="C15" s="158">
        <f t="shared" si="3"/>
        <v>9164.2000000000007</v>
      </c>
      <c r="D15" s="158">
        <f>'25-DG chi DT tung co quan T'!C15</f>
        <v>0</v>
      </c>
      <c r="E15" s="158">
        <f>'26-DG chiTX tungCQ T'!C25</f>
        <v>9164.2000000000007</v>
      </c>
      <c r="F15" s="158"/>
      <c r="G15" s="158"/>
      <c r="H15" s="158"/>
      <c r="I15" s="158"/>
      <c r="J15" s="158"/>
      <c r="K15" s="158"/>
    </row>
    <row r="16" spans="1:11" ht="15.75">
      <c r="A16" s="76">
        <f>'51- CK NSNN- bo'!A17</f>
        <v>3</v>
      </c>
      <c r="B16" s="221" t="str">
        <f>'51- CK NSNN- bo'!B17</f>
        <v>Sở Nông Nghiệp và PTNT</v>
      </c>
      <c r="C16" s="158">
        <f t="shared" si="3"/>
        <v>32344.602999999999</v>
      </c>
      <c r="D16" s="158">
        <f>'25-DG chi DT tung co quan T'!C16</f>
        <v>3202</v>
      </c>
      <c r="E16" s="158">
        <f>'26-DG chiTX tungCQ T'!C29</f>
        <v>29142.602999999999</v>
      </c>
      <c r="F16" s="158"/>
      <c r="G16" s="158"/>
      <c r="H16" s="158"/>
      <c r="I16" s="158"/>
      <c r="J16" s="158"/>
      <c r="K16" s="158"/>
    </row>
    <row r="17" spans="1:11" ht="15.75">
      <c r="A17" s="76">
        <f>'51- CK NSNN- bo'!A18</f>
        <v>0</v>
      </c>
      <c r="B17" s="221" t="str">
        <f>'51- CK NSNN- bo'!B18</f>
        <v xml:space="preserve"> - Văn phòng sở nông nghiệp</v>
      </c>
      <c r="C17" s="158">
        <f t="shared" si="3"/>
        <v>10595.129000000001</v>
      </c>
      <c r="D17" s="158">
        <f>'25-DG chi DT tung co quan T'!C17</f>
        <v>0</v>
      </c>
      <c r="E17" s="158">
        <f>'26-DG chiTX tungCQ T'!C33</f>
        <v>10595.129000000001</v>
      </c>
      <c r="F17" s="158"/>
      <c r="G17" s="158"/>
      <c r="H17" s="158"/>
      <c r="I17" s="158"/>
      <c r="J17" s="158"/>
      <c r="K17" s="158"/>
    </row>
    <row r="18" spans="1:11" ht="15.75">
      <c r="A18" s="76">
        <f>'51- CK NSNN- bo'!A19</f>
        <v>0</v>
      </c>
      <c r="B18" s="221" t="str">
        <f>'51- CK NSNN- bo'!B19</f>
        <v xml:space="preserve"> - Chi cục kiểm lâm</v>
      </c>
      <c r="C18" s="158">
        <f t="shared" si="3"/>
        <v>32931.235999999997</v>
      </c>
      <c r="D18" s="158">
        <f>'25-DG chi DT tung co quan T'!C18</f>
        <v>1900</v>
      </c>
      <c r="E18" s="158">
        <f>'26-DG chiTX tungCQ T'!C36</f>
        <v>31031.235999999997</v>
      </c>
      <c r="F18" s="158"/>
      <c r="G18" s="158"/>
      <c r="H18" s="158"/>
      <c r="I18" s="158"/>
      <c r="J18" s="158"/>
      <c r="K18" s="158"/>
    </row>
    <row r="19" spans="1:11" ht="15.75">
      <c r="A19" s="76">
        <f>'51- CK NSNN- bo'!A20</f>
        <v>0</v>
      </c>
      <c r="B19" s="221" t="str">
        <f>'51- CK NSNN- bo'!B20</f>
        <v xml:space="preserve"> - Chi cục QLCL Nông - LS và TS</v>
      </c>
      <c r="C19" s="158">
        <f t="shared" si="3"/>
        <v>11955.212</v>
      </c>
      <c r="D19" s="158">
        <f>'25-DG chi DT tung co quan T'!C19</f>
        <v>0</v>
      </c>
      <c r="E19" s="158">
        <f>'26-DG chiTX tungCQ T'!C39</f>
        <v>11955.212</v>
      </c>
      <c r="F19" s="158"/>
      <c r="G19" s="158"/>
      <c r="H19" s="158"/>
      <c r="I19" s="158"/>
      <c r="J19" s="158"/>
      <c r="K19" s="158"/>
    </row>
    <row r="20" spans="1:11" ht="15.75">
      <c r="A20" s="76">
        <f>'51- CK NSNN- bo'!A21</f>
        <v>0</v>
      </c>
      <c r="B20" s="221" t="str">
        <f>'51- CK NSNN- bo'!B21</f>
        <v xml:space="preserve"> - Chi cục Thuỷ sản</v>
      </c>
      <c r="C20" s="158">
        <f t="shared" si="3"/>
        <v>7316.42</v>
      </c>
      <c r="D20" s="158">
        <f>'25-DG chi DT tung co quan T'!C20</f>
        <v>0</v>
      </c>
      <c r="E20" s="158">
        <f>'26-DG chiTX tungCQ T'!C40</f>
        <v>7316.42</v>
      </c>
      <c r="F20" s="158"/>
      <c r="G20" s="158"/>
      <c r="H20" s="158"/>
      <c r="I20" s="158"/>
      <c r="J20" s="158"/>
      <c r="K20" s="158"/>
    </row>
    <row r="21" spans="1:11" ht="15.75">
      <c r="A21" s="76">
        <f>'51- CK NSNN- bo'!A22</f>
        <v>0</v>
      </c>
      <c r="B21" s="221" t="str">
        <f>'51- CK NSNN- bo'!B22</f>
        <v xml:space="preserve"> - Chi cục Trồng trọt và Bảo vệ thực vật</v>
      </c>
      <c r="C21" s="158">
        <f t="shared" si="3"/>
        <v>731426.5</v>
      </c>
      <c r="D21" s="158">
        <f>'25-DG chi DT tung co quan T'!C21</f>
        <v>644998</v>
      </c>
      <c r="E21" s="158">
        <f>'26-DG chiTX tungCQ T'!C41</f>
        <v>86428.5</v>
      </c>
      <c r="F21" s="158"/>
      <c r="G21" s="158"/>
      <c r="H21" s="158"/>
      <c r="I21" s="158"/>
      <c r="J21" s="158"/>
      <c r="K21" s="158"/>
    </row>
    <row r="22" spans="1:11" ht="15.75">
      <c r="A22" s="76">
        <f>'51- CK NSNN- bo'!A23</f>
        <v>0</v>
      </c>
      <c r="B22" s="221" t="str">
        <f>'51- CK NSNN- bo'!B23</f>
        <v xml:space="preserve"> - Chi cục Thuỷ lợi </v>
      </c>
      <c r="C22" s="158">
        <f t="shared" si="3"/>
        <v>8973</v>
      </c>
      <c r="D22" s="158">
        <f>'25-DG chi DT tung co quan T'!C22</f>
        <v>0</v>
      </c>
      <c r="E22" s="158">
        <f>'26-DG chiTX tungCQ T'!C45</f>
        <v>8973</v>
      </c>
      <c r="F22" s="158"/>
      <c r="G22" s="158"/>
      <c r="H22" s="158"/>
      <c r="I22" s="158"/>
      <c r="J22" s="158"/>
      <c r="K22" s="158"/>
    </row>
    <row r="23" spans="1:11" ht="15.75">
      <c r="A23" s="76">
        <f>'51- CK NSNN- bo'!A24</f>
        <v>0</v>
      </c>
      <c r="B23" s="221" t="str">
        <f>'51- CK NSNN- bo'!B24</f>
        <v xml:space="preserve"> - Chi cục phát triển nông thôn</v>
      </c>
      <c r="C23" s="158">
        <f t="shared" si="3"/>
        <v>446796</v>
      </c>
      <c r="D23" s="158">
        <f>'25-DG chi DT tung co quan T'!C23</f>
        <v>74101</v>
      </c>
      <c r="E23" s="158">
        <f>'26-DG chiTX tungCQ T'!C46</f>
        <v>372695</v>
      </c>
      <c r="F23" s="158"/>
      <c r="G23" s="158"/>
      <c r="H23" s="158"/>
      <c r="I23" s="158"/>
      <c r="J23" s="158"/>
      <c r="K23" s="158"/>
    </row>
    <row r="24" spans="1:11" ht="15.75">
      <c r="A24" s="76">
        <f>'51- CK NSNN- bo'!A25</f>
        <v>4</v>
      </c>
      <c r="B24" s="221" t="str">
        <f>'51- CK NSNN- bo'!B25</f>
        <v>Sở Kế hoạch và Đầu tư</v>
      </c>
      <c r="C24" s="158">
        <f t="shared" si="3"/>
        <v>575207.97</v>
      </c>
      <c r="D24" s="158">
        <f>'25-DG chi DT tung co quan T'!C24</f>
        <v>190537</v>
      </c>
      <c r="E24" s="158">
        <f>'26-DG chiTX tungCQ T'!C53</f>
        <v>384670.97000000003</v>
      </c>
      <c r="F24" s="158"/>
      <c r="G24" s="158"/>
      <c r="H24" s="158"/>
      <c r="I24" s="158"/>
      <c r="J24" s="158"/>
      <c r="K24" s="158"/>
    </row>
    <row r="25" spans="1:11" ht="15.75">
      <c r="A25" s="76">
        <f>'51- CK NSNN- bo'!A26</f>
        <v>5</v>
      </c>
      <c r="B25" s="221" t="str">
        <f>'51- CK NSNN- bo'!B26</f>
        <v>Sở Tư pháp</v>
      </c>
      <c r="C25" s="158">
        <f t="shared" si="3"/>
        <v>130672.461</v>
      </c>
      <c r="D25" s="158">
        <f>'25-DG chi DT tung co quan T'!C27</f>
        <v>24194</v>
      </c>
      <c r="E25" s="158">
        <f>'26-DG chiTX tungCQ T'!C69</f>
        <v>106478.461</v>
      </c>
      <c r="F25" s="158"/>
      <c r="G25" s="158"/>
      <c r="H25" s="158"/>
      <c r="I25" s="158"/>
      <c r="J25" s="158"/>
      <c r="K25" s="158"/>
    </row>
    <row r="26" spans="1:11" ht="15.75">
      <c r="A26" s="76">
        <f>'51- CK NSNN- bo'!A27</f>
        <v>6</v>
      </c>
      <c r="B26" s="221" t="str">
        <f>'51- CK NSNN- bo'!B27</f>
        <v>Sở Công thương</v>
      </c>
      <c r="C26" s="158">
        <f t="shared" si="3"/>
        <v>93266.713000000003</v>
      </c>
      <c r="D26" s="158">
        <f>'25-DG chi DT tung co quan T'!C30</f>
        <v>26117</v>
      </c>
      <c r="E26" s="158">
        <f>'26-DG chiTX tungCQ T'!C80</f>
        <v>67149.713000000003</v>
      </c>
      <c r="F26" s="158"/>
      <c r="G26" s="158"/>
      <c r="H26" s="158"/>
      <c r="I26" s="158"/>
      <c r="J26" s="158"/>
      <c r="K26" s="158"/>
    </row>
    <row r="27" spans="1:11" ht="15.75">
      <c r="A27" s="76">
        <f>'51- CK NSNN- bo'!A28</f>
        <v>0</v>
      </c>
      <c r="B27" s="221" t="str">
        <f>'51- CK NSNN- bo'!B28</f>
        <v xml:space="preserve"> - Văn phòng sở công thương</v>
      </c>
      <c r="C27" s="158">
        <f t="shared" si="3"/>
        <v>81224.07699999999</v>
      </c>
      <c r="D27" s="158">
        <f>'25-DG chi DT tung co quan T'!C31</f>
        <v>0</v>
      </c>
      <c r="E27" s="158">
        <f>'26-DG chiTX tungCQ T'!C92</f>
        <v>81224.07699999999</v>
      </c>
      <c r="F27" s="158"/>
      <c r="G27" s="158"/>
      <c r="H27" s="158"/>
      <c r="I27" s="158"/>
      <c r="J27" s="158"/>
      <c r="K27" s="158"/>
    </row>
    <row r="28" spans="1:11" ht="15.75">
      <c r="A28" s="76">
        <f>'51- CK NSNN- bo'!A29</f>
        <v>0</v>
      </c>
      <c r="B28" s="221" t="str">
        <f>'51- CK NSNN- bo'!B29</f>
        <v xml:space="preserve"> - Chi Cục quản lý thị trường</v>
      </c>
      <c r="C28" s="158">
        <f t="shared" si="3"/>
        <v>18831.561000000002</v>
      </c>
      <c r="D28" s="158">
        <f>'25-DG chi DT tung co quan T'!C32</f>
        <v>10950</v>
      </c>
      <c r="E28" s="158">
        <f>'26-DG chiTX tungCQ T'!C93</f>
        <v>7881.5609999999997</v>
      </c>
      <c r="F28" s="158"/>
      <c r="G28" s="158"/>
      <c r="H28" s="158"/>
      <c r="I28" s="158"/>
      <c r="J28" s="158"/>
      <c r="K28" s="158"/>
    </row>
    <row r="29" spans="1:11" ht="15.75">
      <c r="A29" s="76">
        <f>'51- CK NSNN- bo'!A30</f>
        <v>7</v>
      </c>
      <c r="B29" s="221" t="str">
        <f>'51- CK NSNN- bo'!B30</f>
        <v>Ban Quản lý khu kinh tế</v>
      </c>
      <c r="C29" s="158">
        <f t="shared" si="3"/>
        <v>48753.2</v>
      </c>
      <c r="D29" s="158">
        <f>'25-DG chi DT tung co quan T'!C33</f>
        <v>0</v>
      </c>
      <c r="E29" s="158">
        <f>'26-DG chiTX tungCQ T'!C94</f>
        <v>48753.2</v>
      </c>
      <c r="F29" s="158"/>
      <c r="G29" s="158"/>
      <c r="H29" s="158"/>
      <c r="I29" s="158"/>
      <c r="J29" s="158"/>
      <c r="K29" s="158"/>
    </row>
    <row r="30" spans="1:11" ht="15.75">
      <c r="A30" s="76">
        <f>'51- CK NSNN- bo'!A31</f>
        <v>8</v>
      </c>
      <c r="B30" s="221" t="str">
        <f>'51- CK NSNN- bo'!B31</f>
        <v>Sở Khoa học và Công nghệ</v>
      </c>
      <c r="C30" s="158">
        <f t="shared" si="3"/>
        <v>6216.4560000000001</v>
      </c>
      <c r="D30" s="158">
        <f>'25-DG chi DT tung co quan T'!C34</f>
        <v>0</v>
      </c>
      <c r="E30" s="158">
        <f>'26-DG chiTX tungCQ T'!C98</f>
        <v>6216.4560000000001</v>
      </c>
      <c r="F30" s="158"/>
      <c r="G30" s="158"/>
      <c r="H30" s="158"/>
      <c r="I30" s="158"/>
      <c r="J30" s="158"/>
      <c r="K30" s="158"/>
    </row>
    <row r="31" spans="1:11" ht="15.75">
      <c r="A31" s="76">
        <f>'51- CK NSNN- bo'!A32</f>
        <v>0</v>
      </c>
      <c r="B31" s="221" t="str">
        <f>'51- CK NSNN- bo'!B32</f>
        <v xml:space="preserve"> - Văn phòng sở KHCN</v>
      </c>
      <c r="C31" s="158">
        <f t="shared" si="3"/>
        <v>7515.53</v>
      </c>
      <c r="D31" s="158">
        <f>'25-DG chi DT tung co quan T'!C35</f>
        <v>0</v>
      </c>
      <c r="E31" s="158">
        <f>'26-DG chiTX tungCQ T'!C99</f>
        <v>7515.53</v>
      </c>
      <c r="F31" s="158"/>
      <c r="G31" s="158"/>
      <c r="H31" s="158"/>
      <c r="I31" s="158"/>
      <c r="J31" s="158"/>
      <c r="K31" s="158"/>
    </row>
    <row r="32" spans="1:11" ht="15.75">
      <c r="A32" s="76">
        <f>'51- CK NSNN- bo'!A33</f>
        <v>0</v>
      </c>
      <c r="B32" s="221" t="str">
        <f>'51- CK NSNN- bo'!B33</f>
        <v xml:space="preserve"> - Chi Cục tiêu chuẩn ĐLCL</v>
      </c>
      <c r="C32" s="158">
        <f t="shared" si="3"/>
        <v>12195</v>
      </c>
      <c r="D32" s="158">
        <f>'25-DG chi DT tung co quan T'!C36</f>
        <v>2695</v>
      </c>
      <c r="E32" s="158">
        <f>'26-DG chiTX tungCQ T'!C100</f>
        <v>9500</v>
      </c>
      <c r="F32" s="158"/>
      <c r="G32" s="158"/>
      <c r="H32" s="158"/>
      <c r="I32" s="158"/>
      <c r="J32" s="158"/>
      <c r="K32" s="158"/>
    </row>
    <row r="33" spans="1:11" ht="15.75">
      <c r="A33" s="76">
        <v>23</v>
      </c>
      <c r="B33" s="221" t="str">
        <f>'51- CK NSNN- bo'!B34</f>
        <v>Sở Tài chính</v>
      </c>
      <c r="C33" s="158">
        <f t="shared" si="3"/>
        <v>1158617</v>
      </c>
      <c r="D33" s="158">
        <f>'25-DG chi DT tung co quan T'!C37</f>
        <v>969772</v>
      </c>
      <c r="E33" s="158">
        <f>'26-DG chiTX tungCQ T'!C101</f>
        <v>188845</v>
      </c>
      <c r="F33" s="158"/>
      <c r="G33" s="158"/>
      <c r="H33" s="158"/>
      <c r="I33" s="158"/>
      <c r="J33" s="158"/>
      <c r="K33" s="158"/>
    </row>
    <row r="34" spans="1:11" s="101" customFormat="1" ht="15.75">
      <c r="A34" s="74">
        <f>'51- CK NSNN- bo'!A35</f>
        <v>10</v>
      </c>
      <c r="B34" s="222" t="str">
        <f>'51- CK NSNN- bo'!B35</f>
        <v>Sở Xây dựng</v>
      </c>
      <c r="C34" s="168">
        <f>C35+SUM(C38:C44)</f>
        <v>237240.50276400003</v>
      </c>
      <c r="D34" s="168">
        <f>D35+SUM(D38:D44)</f>
        <v>10000</v>
      </c>
      <c r="E34" s="168">
        <f>E35+SUM(E38:E44)</f>
        <v>227240.50276400003</v>
      </c>
      <c r="F34" s="168">
        <f t="shared" ref="F34:K34" si="4">F35+SUM(F38:F44)</f>
        <v>0</v>
      </c>
      <c r="G34" s="168">
        <f t="shared" si="4"/>
        <v>0</v>
      </c>
      <c r="H34" s="168">
        <f t="shared" si="4"/>
        <v>0</v>
      </c>
      <c r="I34" s="168">
        <f t="shared" si="4"/>
        <v>0</v>
      </c>
      <c r="J34" s="168">
        <f t="shared" si="4"/>
        <v>0</v>
      </c>
      <c r="K34" s="168">
        <f t="shared" si="4"/>
        <v>0</v>
      </c>
    </row>
    <row r="35" spans="1:11" ht="15.75">
      <c r="A35" s="76">
        <f>'51- CK NSNN- bo'!A36</f>
        <v>0</v>
      </c>
      <c r="B35" s="221" t="str">
        <f>'51- CK NSNN- bo'!B36</f>
        <v xml:space="preserve"> - Văn phòng sở XD</v>
      </c>
      <c r="C35" s="158">
        <f t="shared" si="3"/>
        <v>204008.44476400001</v>
      </c>
      <c r="D35" s="158">
        <f>'25-DG chi DT tung co quan T'!C55</f>
        <v>10000</v>
      </c>
      <c r="E35" s="158">
        <f>+'26-DG chiTX tungCQ T'!C103</f>
        <v>194008.44476400001</v>
      </c>
      <c r="F35" s="158"/>
      <c r="G35" s="158"/>
      <c r="H35" s="158"/>
      <c r="I35" s="158"/>
      <c r="J35" s="158"/>
      <c r="K35" s="158"/>
    </row>
    <row r="36" spans="1:11" ht="15.75">
      <c r="A36" s="76"/>
      <c r="B36" s="221" t="str">
        <f>'51- CK NSNN- bo'!B37</f>
        <v xml:space="preserve"> - Thanh tra xây dựng</v>
      </c>
      <c r="C36" s="158">
        <f t="shared" si="3"/>
        <v>188876.271764</v>
      </c>
      <c r="D36" s="158"/>
      <c r="E36" s="158">
        <f>+'26-DG chiTX tungCQ T'!C104</f>
        <v>188876.271764</v>
      </c>
      <c r="F36" s="158"/>
      <c r="G36" s="158"/>
      <c r="H36" s="158"/>
      <c r="I36" s="158"/>
      <c r="J36" s="158"/>
      <c r="K36" s="158"/>
    </row>
    <row r="37" spans="1:11" ht="15.75">
      <c r="A37" s="76"/>
      <c r="B37" s="221" t="str">
        <f>'51- CK NSNN- bo'!B38</f>
        <v xml:space="preserve"> - Chi cục giám định xây dựng</v>
      </c>
      <c r="C37" s="158">
        <f t="shared" si="3"/>
        <v>5132.1729999999998</v>
      </c>
      <c r="D37" s="158"/>
      <c r="E37" s="158">
        <f>+'26-DG chiTX tungCQ T'!C105</f>
        <v>5132.1729999999998</v>
      </c>
      <c r="F37" s="158"/>
      <c r="G37" s="158"/>
      <c r="H37" s="158"/>
      <c r="I37" s="158"/>
      <c r="J37" s="158"/>
      <c r="K37" s="158"/>
    </row>
    <row r="38" spans="1:11" ht="15.75">
      <c r="A38" s="76">
        <f>'51- CK NSNN- bo'!A39</f>
        <v>11</v>
      </c>
      <c r="B38" s="221" t="str">
        <f>'51- CK NSNN- bo'!B39</f>
        <v>Sở Giao thông - Vận tải</v>
      </c>
      <c r="C38" s="158">
        <f t="shared" si="3"/>
        <v>4949</v>
      </c>
      <c r="D38" s="158">
        <f>+'25-DG chi DT tung co quan T'!D58</f>
        <v>0</v>
      </c>
      <c r="E38" s="158">
        <f>+'26-DG chiTX tungCQ T'!C106</f>
        <v>4949</v>
      </c>
      <c r="F38" s="158"/>
      <c r="G38" s="158"/>
      <c r="H38" s="158"/>
      <c r="I38" s="158"/>
      <c r="J38" s="158"/>
      <c r="K38" s="158"/>
    </row>
    <row r="39" spans="1:11" ht="15.75">
      <c r="A39" s="76">
        <f>'51- CK NSNN- bo'!A40</f>
        <v>0</v>
      </c>
      <c r="B39" s="221" t="str">
        <f>'51- CK NSNN- bo'!B40</f>
        <v xml:space="preserve"> - Văn phòng sở GTVT</v>
      </c>
      <c r="C39" s="158">
        <f t="shared" si="3"/>
        <v>6568.5</v>
      </c>
      <c r="D39" s="158">
        <f>+'25-DG chi DT tung co quan T'!D59</f>
        <v>0</v>
      </c>
      <c r="E39" s="158">
        <f>+'26-DG chiTX tungCQ T'!C107</f>
        <v>6568.5</v>
      </c>
      <c r="F39" s="158"/>
      <c r="G39" s="158"/>
      <c r="H39" s="158"/>
      <c r="I39" s="158"/>
      <c r="J39" s="158"/>
      <c r="K39" s="158"/>
    </row>
    <row r="40" spans="1:11" ht="15.75">
      <c r="A40" s="76">
        <f>'51- CK NSNN- bo'!A41</f>
        <v>0</v>
      </c>
      <c r="B40" s="221" t="str">
        <f>'51- CK NSNN- bo'!B41</f>
        <v xml:space="preserve"> - Thanh tra giao thông vận tải</v>
      </c>
      <c r="C40" s="158">
        <f t="shared" si="3"/>
        <v>3781.2</v>
      </c>
      <c r="D40" s="158">
        <f>+'25-DG chi DT tung co quan T'!D60</f>
        <v>0</v>
      </c>
      <c r="E40" s="158">
        <f>'26-DG chiTX tungCQ T'!C110</f>
        <v>3781.2</v>
      </c>
      <c r="F40" s="158"/>
      <c r="G40" s="158"/>
      <c r="H40" s="158"/>
      <c r="I40" s="158"/>
      <c r="J40" s="158"/>
      <c r="K40" s="158"/>
    </row>
    <row r="41" spans="1:11" ht="15.75">
      <c r="A41" s="76">
        <f>'51- CK NSNN- bo'!A42</f>
        <v>12</v>
      </c>
      <c r="B41" s="221" t="str">
        <f>'51- CK NSNN- bo'!B42</f>
        <v>Ban An toàn giao thông</v>
      </c>
      <c r="C41" s="158">
        <f t="shared" si="3"/>
        <v>5060.3580000000002</v>
      </c>
      <c r="D41" s="158">
        <f>+'25-DG chi DT tung co quan T'!D61</f>
        <v>0</v>
      </c>
      <c r="E41" s="158">
        <f>'26-DG chiTX tungCQ T'!C111</f>
        <v>5060.3580000000002</v>
      </c>
      <c r="F41" s="158"/>
      <c r="G41" s="158"/>
      <c r="H41" s="158"/>
      <c r="I41" s="158"/>
      <c r="J41" s="158"/>
      <c r="K41" s="158"/>
    </row>
    <row r="42" spans="1:11" ht="15.75">
      <c r="A42" s="76">
        <f>'51- CK NSNN- bo'!A43</f>
        <v>13</v>
      </c>
      <c r="B42" s="221" t="str">
        <f>'51- CK NSNN- bo'!B43</f>
        <v>Sở Giáo dục và Đào tạo</v>
      </c>
      <c r="C42" s="158">
        <f t="shared" si="3"/>
        <v>2461</v>
      </c>
      <c r="D42" s="158">
        <f>+'25-DG chi DT tung co quan T'!D62</f>
        <v>0</v>
      </c>
      <c r="E42" s="158">
        <f>'26-DG chiTX tungCQ T'!C114</f>
        <v>2461</v>
      </c>
      <c r="F42" s="158"/>
      <c r="G42" s="158"/>
      <c r="H42" s="158"/>
      <c r="I42" s="158"/>
      <c r="J42" s="158"/>
      <c r="K42" s="158"/>
    </row>
    <row r="43" spans="1:11" ht="15.75">
      <c r="A43" s="76">
        <f>'51- CK NSNN- bo'!A44</f>
        <v>14</v>
      </c>
      <c r="B43" s="221" t="str">
        <f>'51- CK NSNN- bo'!B44</f>
        <v>Sở Y tế</v>
      </c>
      <c r="C43" s="158">
        <f t="shared" si="3"/>
        <v>8712</v>
      </c>
      <c r="D43" s="158">
        <f>+'25-DG chi DT tung co quan T'!D63</f>
        <v>0</v>
      </c>
      <c r="E43" s="158">
        <f>'26-DG chiTX tungCQ T'!C115</f>
        <v>8712</v>
      </c>
      <c r="F43" s="158"/>
      <c r="G43" s="158"/>
      <c r="H43" s="158"/>
      <c r="I43" s="158"/>
      <c r="J43" s="158"/>
      <c r="K43" s="158"/>
    </row>
    <row r="44" spans="1:11" ht="15.75">
      <c r="A44" s="76">
        <f>'51- CK NSNN- bo'!A45</f>
        <v>0</v>
      </c>
      <c r="B44" s="221" t="str">
        <f>'51- CK NSNN- bo'!B45</f>
        <v xml:space="preserve"> - Văn phòng Sở YT</v>
      </c>
      <c r="C44" s="158">
        <f t="shared" si="3"/>
        <v>1700</v>
      </c>
      <c r="D44" s="158">
        <f>+'25-DG chi DT tung co quan T'!D64</f>
        <v>0</v>
      </c>
      <c r="E44" s="158">
        <f>'26-DG chiTX tungCQ T'!C116</f>
        <v>1700</v>
      </c>
      <c r="F44" s="158"/>
      <c r="G44" s="158"/>
      <c r="H44" s="158"/>
      <c r="I44" s="158"/>
      <c r="J44" s="158"/>
      <c r="K44" s="158"/>
    </row>
    <row r="45" spans="1:11" ht="15.75">
      <c r="A45" s="74">
        <f>'51- CK NSNN- bo'!A46</f>
        <v>0</v>
      </c>
      <c r="B45" s="222" t="str">
        <f>'51- CK NSNN- bo'!B46</f>
        <v xml:space="preserve"> - Chi cục Dân số-KHHGĐ</v>
      </c>
      <c r="C45" s="168">
        <f>SUM(C46:C48)</f>
        <v>121956.73160000001</v>
      </c>
      <c r="D45" s="168">
        <f t="shared" ref="D45:K45" si="5">SUM(D46:D48)</f>
        <v>44333</v>
      </c>
      <c r="E45" s="168">
        <f t="shared" si="5"/>
        <v>77623.731600000014</v>
      </c>
      <c r="F45" s="168">
        <f t="shared" si="5"/>
        <v>0</v>
      </c>
      <c r="G45" s="168">
        <f t="shared" si="5"/>
        <v>0</v>
      </c>
      <c r="H45" s="168">
        <f t="shared" si="5"/>
        <v>0</v>
      </c>
      <c r="I45" s="168">
        <f t="shared" si="5"/>
        <v>0</v>
      </c>
      <c r="J45" s="168">
        <f t="shared" si="5"/>
        <v>0</v>
      </c>
      <c r="K45" s="168">
        <f t="shared" si="5"/>
        <v>0</v>
      </c>
    </row>
    <row r="46" spans="1:11" ht="15.75">
      <c r="A46" s="76">
        <f>'51- CK NSNN- bo'!A47</f>
        <v>0</v>
      </c>
      <c r="B46" s="221" t="str">
        <f>'51- CK NSNN- bo'!B47</f>
        <v xml:space="preserve"> - Chi cục An toàn VSTP</v>
      </c>
      <c r="C46" s="158">
        <f>+D46+E46</f>
        <v>30297.25</v>
      </c>
      <c r="D46" s="158">
        <f>'25-DG chi DT tung co quan T'!C66</f>
        <v>19063</v>
      </c>
      <c r="E46" s="158">
        <f>'26-DG chiTX tungCQ T'!C118</f>
        <v>11234.25</v>
      </c>
      <c r="F46" s="158"/>
      <c r="G46" s="158"/>
      <c r="H46" s="158"/>
      <c r="I46" s="158"/>
      <c r="J46" s="158"/>
      <c r="K46" s="158"/>
    </row>
    <row r="47" spans="1:11" ht="15.75">
      <c r="A47" s="76">
        <f>'51- CK NSNN- bo'!A48</f>
        <v>15</v>
      </c>
      <c r="B47" s="221" t="str">
        <f>'51- CK NSNN- bo'!B48</f>
        <v>Sở Lao động TB và Xã hội</v>
      </c>
      <c r="C47" s="158">
        <f t="shared" ref="C47:C48" si="6">+D47+E47</f>
        <v>76445.040000000008</v>
      </c>
      <c r="D47" s="158">
        <f>'25-DG chi DT tung co quan T'!C67</f>
        <v>16570</v>
      </c>
      <c r="E47" s="158">
        <f>'26-DG chiTX tungCQ T'!C119</f>
        <v>59875.040000000001</v>
      </c>
      <c r="F47" s="158"/>
      <c r="G47" s="158"/>
      <c r="H47" s="158"/>
      <c r="I47" s="158"/>
      <c r="J47" s="158"/>
      <c r="K47" s="158"/>
    </row>
    <row r="48" spans="1:11" ht="15.75">
      <c r="A48" s="76">
        <f>'51- CK NSNN- bo'!A49</f>
        <v>0</v>
      </c>
      <c r="B48" s="221" t="str">
        <f>'51- CK NSNN- bo'!B49</f>
        <v xml:space="preserve"> - Văn phòng Sở LĐTBXH</v>
      </c>
      <c r="C48" s="158">
        <f t="shared" si="6"/>
        <v>15214.4416</v>
      </c>
      <c r="D48" s="158">
        <f>'25-DG chi DT tung co quan T'!C68</f>
        <v>8700</v>
      </c>
      <c r="E48" s="158">
        <f>'26-DG chiTX tungCQ T'!C120</f>
        <v>6514.4416000000001</v>
      </c>
      <c r="F48" s="158"/>
      <c r="G48" s="158"/>
      <c r="H48" s="158"/>
      <c r="I48" s="158"/>
      <c r="J48" s="158"/>
      <c r="K48" s="158"/>
    </row>
    <row r="49" spans="1:11" s="101" customFormat="1" ht="15.75">
      <c r="A49" s="74">
        <f>'51- CK NSNN- bo'!A50</f>
        <v>0</v>
      </c>
      <c r="B49" s="222" t="str">
        <f>'51- CK NSNN- bo'!B50</f>
        <v xml:space="preserve"> - Ban vì sự tiến bộ phụ nữ</v>
      </c>
      <c r="C49" s="168">
        <f>+D49+E49</f>
        <v>242096.21900999994</v>
      </c>
      <c r="D49" s="168">
        <f>'25-DG chi DT tung co quan T'!C69</f>
        <v>0</v>
      </c>
      <c r="E49" s="168">
        <f>'26-DG chiTX tungCQ T'!C121</f>
        <v>242096.21900999994</v>
      </c>
      <c r="F49" s="168"/>
      <c r="G49" s="168"/>
      <c r="H49" s="168"/>
      <c r="I49" s="168"/>
      <c r="J49" s="168"/>
      <c r="K49" s="168"/>
    </row>
    <row r="50" spans="1:11" ht="15.75">
      <c r="A50" s="74">
        <f>'51- CK NSNN- bo'!A51</f>
        <v>0</v>
      </c>
      <c r="B50" s="222" t="str">
        <f>'51- CK NSNN- bo'!B51</f>
        <v xml:space="preserve"> - Chi cục PCTN xã hội</v>
      </c>
      <c r="C50" s="168">
        <f>SUM(C51:C70)</f>
        <v>52300.403000000006</v>
      </c>
      <c r="D50" s="168">
        <f t="shared" ref="D50:K50" si="7">SUM(D51:D70)</f>
        <v>15735</v>
      </c>
      <c r="E50" s="168">
        <f t="shared" si="7"/>
        <v>36565.402999999998</v>
      </c>
      <c r="F50" s="168">
        <f t="shared" si="7"/>
        <v>0</v>
      </c>
      <c r="G50" s="168">
        <f t="shared" si="7"/>
        <v>0</v>
      </c>
      <c r="H50" s="168">
        <f t="shared" si="7"/>
        <v>0</v>
      </c>
      <c r="I50" s="168">
        <f t="shared" si="7"/>
        <v>0</v>
      </c>
      <c r="J50" s="168">
        <f t="shared" si="7"/>
        <v>0</v>
      </c>
      <c r="K50" s="168">
        <f t="shared" si="7"/>
        <v>0</v>
      </c>
    </row>
    <row r="51" spans="1:11" ht="15.75">
      <c r="A51" s="76">
        <v>1</v>
      </c>
      <c r="B51" s="221" t="str">
        <f>'51- CK NSNN- bo'!B52</f>
        <v>Sở Văn hóa, thể thao, du lịch</v>
      </c>
      <c r="C51" s="158">
        <f>++D51+E51</f>
        <v>112.5</v>
      </c>
      <c r="D51" s="158">
        <f>+'25-DG chi DT tung co quan T'!C71</f>
        <v>0</v>
      </c>
      <c r="E51" s="158">
        <f>'26-DG chiTX tungCQ T'!C123</f>
        <v>112.5</v>
      </c>
      <c r="F51" s="158"/>
      <c r="G51" s="158"/>
      <c r="H51" s="158"/>
      <c r="I51" s="158"/>
      <c r="J51" s="158"/>
      <c r="K51" s="158"/>
    </row>
    <row r="52" spans="1:11" ht="15.75">
      <c r="A52" s="76">
        <v>2</v>
      </c>
      <c r="B52" s="221" t="str">
        <f>'51- CK NSNN- bo'!B53</f>
        <v>Sở Tài nguyên và Môi trường</v>
      </c>
      <c r="C52" s="158">
        <f t="shared" ref="C52:C70" si="8">++D52+E52</f>
        <v>410.6</v>
      </c>
      <c r="D52" s="158">
        <f>+'25-DG chi DT tung co quan T'!C72</f>
        <v>0</v>
      </c>
      <c r="E52" s="158">
        <f>'26-DG chiTX tungCQ T'!C124</f>
        <v>410.6</v>
      </c>
      <c r="F52" s="158"/>
      <c r="G52" s="158"/>
      <c r="H52" s="158"/>
      <c r="I52" s="158"/>
      <c r="J52" s="158"/>
      <c r="K52" s="158"/>
    </row>
    <row r="53" spans="1:11" ht="15.75">
      <c r="A53" s="76">
        <v>3</v>
      </c>
      <c r="B53" s="221" t="str">
        <f>'51- CK NSNN- bo'!B54</f>
        <v xml:space="preserve"> - Văn phòng Sở TNMT</v>
      </c>
      <c r="C53" s="158">
        <f t="shared" si="8"/>
        <v>10915</v>
      </c>
      <c r="D53" s="158">
        <f>+'25-DG chi DT tung co quan T'!C73</f>
        <v>0</v>
      </c>
      <c r="E53" s="158">
        <f>'26-DG chiTX tungCQ T'!C125</f>
        <v>10915</v>
      </c>
      <c r="F53" s="158"/>
      <c r="G53" s="158"/>
      <c r="H53" s="158"/>
      <c r="I53" s="158"/>
      <c r="J53" s="158"/>
      <c r="K53" s="158"/>
    </row>
    <row r="54" spans="1:11" ht="15.75">
      <c r="A54" s="76">
        <v>4</v>
      </c>
      <c r="B54" s="221" t="str">
        <f>'51- CK NSNN- bo'!B55</f>
        <v xml:space="preserve"> - Chi cục quản lý đất đai</v>
      </c>
      <c r="C54" s="158">
        <f t="shared" si="8"/>
        <v>7022</v>
      </c>
      <c r="D54" s="158">
        <f>+'25-DG chi DT tung co quan T'!C74</f>
        <v>0</v>
      </c>
      <c r="E54" s="158">
        <f>'26-DG chiTX tungCQ T'!C126</f>
        <v>7022</v>
      </c>
      <c r="F54" s="158"/>
      <c r="G54" s="158"/>
      <c r="H54" s="158"/>
      <c r="I54" s="158"/>
      <c r="J54" s="158"/>
      <c r="K54" s="158"/>
    </row>
    <row r="55" spans="1:11" ht="15.75">
      <c r="A55" s="76">
        <v>5</v>
      </c>
      <c r="B55" s="221" t="e">
        <f>'51- CK NSNN- bo'!#REF!</f>
        <v>#REF!</v>
      </c>
      <c r="C55" s="158">
        <f t="shared" si="8"/>
        <v>1875</v>
      </c>
      <c r="D55" s="158">
        <f>+'25-DG chi DT tung co quan T'!C75</f>
        <v>0</v>
      </c>
      <c r="E55" s="158">
        <f>'26-DG chiTX tungCQ T'!C127</f>
        <v>1875</v>
      </c>
      <c r="F55" s="158"/>
      <c r="G55" s="158"/>
      <c r="H55" s="158"/>
      <c r="I55" s="158"/>
      <c r="J55" s="158"/>
      <c r="K55" s="158"/>
    </row>
    <row r="56" spans="1:11" ht="15.75">
      <c r="A56" s="76">
        <v>6</v>
      </c>
      <c r="B56" s="221" t="e">
        <f>'51- CK NSNN- bo'!#REF!</f>
        <v>#REF!</v>
      </c>
      <c r="C56" s="158">
        <f t="shared" si="8"/>
        <v>956.21400000000006</v>
      </c>
      <c r="D56" s="158">
        <f>+'25-DG chi DT tung co quan T'!C76</f>
        <v>0</v>
      </c>
      <c r="E56" s="158">
        <f>'26-DG chiTX tungCQ T'!C128</f>
        <v>956.21400000000006</v>
      </c>
      <c r="F56" s="158"/>
      <c r="G56" s="158"/>
      <c r="H56" s="158"/>
      <c r="I56" s="158"/>
      <c r="J56" s="158"/>
      <c r="K56" s="158"/>
    </row>
    <row r="57" spans="1:11" ht="15.75">
      <c r="A57" s="76">
        <v>7</v>
      </c>
      <c r="B57" s="221" t="e">
        <f>'51- CK NSNN- bo'!#REF!</f>
        <v>#REF!</v>
      </c>
      <c r="C57" s="158">
        <f t="shared" si="8"/>
        <v>814.2</v>
      </c>
      <c r="D57" s="158">
        <f>+'25-DG chi DT tung co quan T'!C77</f>
        <v>0</v>
      </c>
      <c r="E57" s="158">
        <f>'26-DG chiTX tungCQ T'!C129</f>
        <v>814.2</v>
      </c>
      <c r="F57" s="158"/>
      <c r="G57" s="158"/>
      <c r="H57" s="158"/>
      <c r="I57" s="158"/>
      <c r="J57" s="158"/>
      <c r="K57" s="158"/>
    </row>
    <row r="58" spans="1:11" ht="15.75">
      <c r="A58" s="76">
        <v>8</v>
      </c>
      <c r="B58" s="221" t="e">
        <f>'51- CK NSNN- bo'!#REF!</f>
        <v>#REF!</v>
      </c>
      <c r="C58" s="158">
        <f t="shared" si="8"/>
        <v>1389</v>
      </c>
      <c r="D58" s="158">
        <f>+'25-DG chi DT tung co quan T'!C78</f>
        <v>0</v>
      </c>
      <c r="E58" s="158">
        <f>'26-DG chiTX tungCQ T'!C130</f>
        <v>1389</v>
      </c>
      <c r="F58" s="158"/>
      <c r="G58" s="158"/>
      <c r="H58" s="158"/>
      <c r="I58" s="158"/>
      <c r="J58" s="158"/>
      <c r="K58" s="158"/>
    </row>
    <row r="59" spans="1:11" ht="15.75">
      <c r="A59" s="76">
        <v>9</v>
      </c>
      <c r="B59" s="221" t="e">
        <f>'51- CK NSNN- bo'!#REF!</f>
        <v>#REF!</v>
      </c>
      <c r="C59" s="158">
        <f t="shared" si="8"/>
        <v>933</v>
      </c>
      <c r="D59" s="158">
        <f>+'25-DG chi DT tung co quan T'!C79</f>
        <v>0</v>
      </c>
      <c r="E59" s="158">
        <f>'26-DG chiTX tungCQ T'!C131</f>
        <v>933</v>
      </c>
      <c r="F59" s="158"/>
      <c r="G59" s="158"/>
      <c r="H59" s="158"/>
      <c r="I59" s="158"/>
      <c r="J59" s="158"/>
      <c r="K59" s="158"/>
    </row>
    <row r="60" spans="1:11" ht="15.75">
      <c r="A60" s="76">
        <v>10</v>
      </c>
      <c r="B60" s="221" t="e">
        <f>'51- CK NSNN- bo'!#REF!</f>
        <v>#REF!</v>
      </c>
      <c r="C60" s="158">
        <f t="shared" si="8"/>
        <v>1910.325</v>
      </c>
      <c r="D60" s="158">
        <f>+'25-DG chi DT tung co quan T'!C80</f>
        <v>0</v>
      </c>
      <c r="E60" s="158">
        <f>'26-DG chiTX tungCQ T'!C132</f>
        <v>1910.325</v>
      </c>
      <c r="F60" s="158"/>
      <c r="G60" s="158"/>
      <c r="H60" s="158"/>
      <c r="I60" s="158"/>
      <c r="J60" s="158"/>
      <c r="K60" s="158"/>
    </row>
    <row r="61" spans="1:11" ht="15.75">
      <c r="A61" s="76">
        <v>11</v>
      </c>
      <c r="B61" s="221" t="e">
        <f>'51- CK NSNN- bo'!#REF!</f>
        <v>#REF!</v>
      </c>
      <c r="C61" s="158">
        <f t="shared" si="8"/>
        <v>485</v>
      </c>
      <c r="D61" s="158">
        <f>+'25-DG chi DT tung co quan T'!C81</f>
        <v>0</v>
      </c>
      <c r="E61" s="158">
        <f>'26-DG chiTX tungCQ T'!C133</f>
        <v>485</v>
      </c>
      <c r="F61" s="158"/>
      <c r="G61" s="158"/>
      <c r="H61" s="158"/>
      <c r="I61" s="158"/>
      <c r="J61" s="158"/>
      <c r="K61" s="158"/>
    </row>
    <row r="62" spans="1:11" ht="15.75">
      <c r="A62" s="76">
        <v>12</v>
      </c>
      <c r="B62" s="221" t="e">
        <f>'51- CK NSNN- bo'!#REF!</f>
        <v>#REF!</v>
      </c>
      <c r="C62" s="158">
        <f t="shared" si="8"/>
        <v>327.48399999999998</v>
      </c>
      <c r="D62" s="158">
        <f>+'25-DG chi DT tung co quan T'!C82</f>
        <v>0</v>
      </c>
      <c r="E62" s="158">
        <f>'26-DG chiTX tungCQ T'!C134</f>
        <v>327.48399999999998</v>
      </c>
      <c r="F62" s="158"/>
      <c r="G62" s="158"/>
      <c r="H62" s="158"/>
      <c r="I62" s="158"/>
      <c r="J62" s="158"/>
      <c r="K62" s="158"/>
    </row>
    <row r="63" spans="1:11" ht="15.75">
      <c r="A63" s="76">
        <v>13</v>
      </c>
      <c r="B63" s="221" t="e">
        <f>'51- CK NSNN- bo'!#REF!</f>
        <v>#REF!</v>
      </c>
      <c r="C63" s="158">
        <f t="shared" si="8"/>
        <v>470</v>
      </c>
      <c r="D63" s="158">
        <f>+'25-DG chi DT tung co quan T'!C83</f>
        <v>0</v>
      </c>
      <c r="E63" s="158">
        <f>'26-DG chiTX tungCQ T'!C135</f>
        <v>470</v>
      </c>
      <c r="F63" s="158"/>
      <c r="G63" s="158"/>
      <c r="H63" s="158"/>
      <c r="I63" s="158"/>
      <c r="J63" s="158"/>
      <c r="K63" s="158"/>
    </row>
    <row r="64" spans="1:11" ht="15.75">
      <c r="A64" s="76">
        <v>14</v>
      </c>
      <c r="B64" s="221" t="e">
        <f>'51- CK NSNN- bo'!#REF!</f>
        <v>#REF!</v>
      </c>
      <c r="C64" s="158">
        <f t="shared" si="8"/>
        <v>318</v>
      </c>
      <c r="D64" s="158">
        <f>+'25-DG chi DT tung co quan T'!C84</f>
        <v>0</v>
      </c>
      <c r="E64" s="158">
        <f>'26-DG chiTX tungCQ T'!C136</f>
        <v>318</v>
      </c>
      <c r="F64" s="158"/>
      <c r="G64" s="158"/>
      <c r="H64" s="158"/>
      <c r="I64" s="158"/>
      <c r="J64" s="158"/>
      <c r="K64" s="158"/>
    </row>
    <row r="65" spans="1:11" ht="15.75">
      <c r="A65" s="76">
        <v>15</v>
      </c>
      <c r="B65" s="221" t="e">
        <f>'51- CK NSNN- bo'!#REF!</f>
        <v>#REF!</v>
      </c>
      <c r="C65" s="158">
        <f t="shared" si="8"/>
        <v>386</v>
      </c>
      <c r="D65" s="158">
        <f>+'25-DG chi DT tung co quan T'!C85</f>
        <v>0</v>
      </c>
      <c r="E65" s="158">
        <f>'26-DG chiTX tungCQ T'!C137</f>
        <v>386</v>
      </c>
      <c r="F65" s="158"/>
      <c r="G65" s="158"/>
      <c r="H65" s="158"/>
      <c r="I65" s="158"/>
      <c r="J65" s="158"/>
      <c r="K65" s="158"/>
    </row>
    <row r="66" spans="1:11" ht="15.75">
      <c r="A66" s="76">
        <v>16</v>
      </c>
      <c r="B66" s="221" t="e">
        <f>'51- CK NSNN- bo'!#REF!</f>
        <v>#REF!</v>
      </c>
      <c r="C66" s="158">
        <f t="shared" si="8"/>
        <v>346</v>
      </c>
      <c r="D66" s="158">
        <f>+'25-DG chi DT tung co quan T'!C86</f>
        <v>0</v>
      </c>
      <c r="E66" s="158">
        <f>'26-DG chiTX tungCQ T'!C138</f>
        <v>346</v>
      </c>
      <c r="F66" s="158"/>
      <c r="G66" s="158"/>
      <c r="H66" s="158"/>
      <c r="I66" s="158"/>
      <c r="J66" s="158"/>
      <c r="K66" s="158"/>
    </row>
    <row r="67" spans="1:11" ht="15.75">
      <c r="A67" s="76">
        <v>17</v>
      </c>
      <c r="B67" s="221" t="e">
        <f>'51- CK NSNN- bo'!#REF!</f>
        <v>#REF!</v>
      </c>
      <c r="C67" s="158">
        <f t="shared" si="8"/>
        <v>220</v>
      </c>
      <c r="D67" s="158">
        <f>+'25-DG chi DT tung co quan T'!C87</f>
        <v>0</v>
      </c>
      <c r="E67" s="158">
        <f>'26-DG chiTX tungCQ T'!C139</f>
        <v>220</v>
      </c>
      <c r="F67" s="158"/>
      <c r="G67" s="158"/>
      <c r="H67" s="158"/>
      <c r="I67" s="158"/>
      <c r="J67" s="158"/>
      <c r="K67" s="158"/>
    </row>
    <row r="68" spans="1:11" ht="15.75">
      <c r="A68" s="76">
        <v>18</v>
      </c>
      <c r="B68" s="221" t="e">
        <f>'51- CK NSNN- bo'!#REF!</f>
        <v>#REF!</v>
      </c>
      <c r="C68" s="158">
        <f t="shared" si="8"/>
        <v>156</v>
      </c>
      <c r="D68" s="158">
        <f>+'25-DG chi DT tung co quan T'!C88</f>
        <v>0</v>
      </c>
      <c r="E68" s="158">
        <f>'26-DG chiTX tungCQ T'!C140</f>
        <v>156</v>
      </c>
      <c r="F68" s="158"/>
      <c r="G68" s="158"/>
      <c r="H68" s="158"/>
      <c r="I68" s="158"/>
      <c r="J68" s="158"/>
      <c r="K68" s="158"/>
    </row>
    <row r="69" spans="1:11" ht="15.75">
      <c r="A69" s="76">
        <v>19</v>
      </c>
      <c r="B69" s="221" t="e">
        <f>'51- CK NSNN- bo'!#REF!</f>
        <v>#REF!</v>
      </c>
      <c r="C69" s="158">
        <f t="shared" si="8"/>
        <v>416</v>
      </c>
      <c r="D69" s="158">
        <f>+'25-DG chi DT tung co quan T'!C89</f>
        <v>0</v>
      </c>
      <c r="E69" s="158">
        <f>'26-DG chiTX tungCQ T'!C141</f>
        <v>416</v>
      </c>
      <c r="F69" s="158"/>
      <c r="G69" s="158"/>
      <c r="H69" s="158"/>
      <c r="I69" s="158"/>
      <c r="J69" s="158"/>
      <c r="K69" s="158"/>
    </row>
    <row r="70" spans="1:11" ht="15.75">
      <c r="A70" s="76">
        <v>20</v>
      </c>
      <c r="B70" s="221" t="s">
        <v>1294</v>
      </c>
      <c r="C70" s="158">
        <f t="shared" si="8"/>
        <v>22838.080000000002</v>
      </c>
      <c r="D70" s="158">
        <f>+'25-DG chi DT tung co quan T'!C90</f>
        <v>15735</v>
      </c>
      <c r="E70" s="158">
        <f>'26-DG chiTX tungCQ T'!C142</f>
        <v>7103.0800000000008</v>
      </c>
      <c r="F70" s="158"/>
      <c r="G70" s="158"/>
      <c r="H70" s="158"/>
      <c r="I70" s="158"/>
      <c r="J70" s="158"/>
      <c r="K70" s="158"/>
    </row>
    <row r="71" spans="1:11" s="101" customFormat="1" ht="47.25">
      <c r="A71" s="74" t="s">
        <v>70</v>
      </c>
      <c r="B71" s="222" t="s">
        <v>1353</v>
      </c>
      <c r="C71" s="168"/>
      <c r="D71" s="168"/>
      <c r="E71" s="168"/>
      <c r="F71" s="168">
        <f>'18-Boi chi'!C64</f>
        <v>5783</v>
      </c>
      <c r="G71" s="168"/>
      <c r="H71" s="168"/>
      <c r="I71" s="168"/>
      <c r="J71" s="168"/>
      <c r="K71" s="168"/>
    </row>
    <row r="72" spans="1:11" s="101" customFormat="1" ht="31.5">
      <c r="A72" s="74" t="s">
        <v>73</v>
      </c>
      <c r="B72" s="442" t="s">
        <v>1327</v>
      </c>
      <c r="C72" s="168"/>
      <c r="D72" s="168"/>
      <c r="E72" s="168"/>
      <c r="F72" s="168"/>
      <c r="G72" s="168">
        <f>1260</f>
        <v>1260</v>
      </c>
      <c r="H72" s="168"/>
      <c r="I72" s="168"/>
      <c r="J72" s="168"/>
      <c r="K72" s="168"/>
    </row>
    <row r="73" spans="1:11" s="101" customFormat="1" ht="31.5">
      <c r="A73" s="74" t="s">
        <v>77</v>
      </c>
      <c r="B73" s="442" t="s">
        <v>1354</v>
      </c>
      <c r="C73" s="168"/>
      <c r="D73" s="168"/>
      <c r="E73" s="168"/>
      <c r="F73" s="168"/>
      <c r="G73" s="168"/>
      <c r="H73" s="168"/>
      <c r="I73" s="168"/>
      <c r="J73" s="168"/>
      <c r="K73" s="168"/>
    </row>
    <row r="74" spans="1:11" s="101" customFormat="1" ht="31.5">
      <c r="A74" s="79" t="s">
        <v>113</v>
      </c>
      <c r="B74" s="80" t="s">
        <v>526</v>
      </c>
      <c r="C74" s="172"/>
      <c r="D74" s="172"/>
      <c r="E74" s="172"/>
      <c r="F74" s="172"/>
      <c r="G74" s="172"/>
      <c r="H74" s="172"/>
      <c r="I74" s="172"/>
      <c r="J74" s="172"/>
      <c r="K74" s="172"/>
    </row>
    <row r="75" spans="1:11" ht="15.75">
      <c r="A75" s="28"/>
    </row>
    <row r="76" spans="1:11" ht="15.75">
      <c r="A76" s="28"/>
    </row>
    <row r="77" spans="1:11" ht="30.75" customHeight="1">
      <c r="A77" s="779" t="s">
        <v>529</v>
      </c>
      <c r="B77" s="779"/>
      <c r="C77" s="779"/>
      <c r="D77" s="779"/>
      <c r="E77" s="779"/>
      <c r="F77" s="779"/>
      <c r="G77" s="779"/>
      <c r="H77" s="779"/>
      <c r="I77" s="779"/>
      <c r="J77" s="779"/>
      <c r="K77" s="779"/>
    </row>
    <row r="78" spans="1:11" ht="15.75">
      <c r="A78" s="780" t="s">
        <v>527</v>
      </c>
      <c r="B78" s="780"/>
      <c r="C78" s="780"/>
      <c r="D78" s="780"/>
      <c r="E78" s="780"/>
      <c r="F78" s="780"/>
      <c r="G78" s="780"/>
      <c r="H78" s="780"/>
      <c r="I78" s="780"/>
      <c r="J78" s="780"/>
      <c r="K78" s="780"/>
    </row>
  </sheetData>
  <customSheetViews>
    <customSheetView guid="{9F606621-8853-4836-9A7E-DBA5CF152671}" showPageBreaks="1" topLeftCell="A7">
      <selection activeCell="B11" sqref="B11"/>
      <pageMargins left="0.7" right="0.7" top="0.75" bottom="0.75" header="0.3" footer="0.3"/>
      <pageSetup orientation="portrait" r:id="rId1"/>
    </customSheetView>
    <customSheetView guid="{DB9039ED-C6EA-422D-9A5D-D152D95EDC67}" showPageBreaks="1" hiddenRows="1" topLeftCell="A5">
      <selection activeCell="E8" sqref="E8"/>
      <pageMargins left="0.9055118110236221" right="0.31496062992125984" top="0.74803149606299213" bottom="0.35433070866141736" header="0.31496062992125984" footer="0.31496062992125984"/>
      <printOptions horizontalCentered="1"/>
      <pageSetup paperSize="9" scale="65" orientation="portrait" r:id="rId2"/>
    </customSheetView>
  </customSheetViews>
  <mergeCells count="13">
    <mergeCell ref="A78:K78"/>
    <mergeCell ref="G5:G6"/>
    <mergeCell ref="H5:J5"/>
    <mergeCell ref="K5:K6"/>
    <mergeCell ref="A2:K2"/>
    <mergeCell ref="A3:K3"/>
    <mergeCell ref="A77:K77"/>
    <mergeCell ref="A5:A6"/>
    <mergeCell ref="B5:B6"/>
    <mergeCell ref="C5:C6"/>
    <mergeCell ref="D5:D6"/>
    <mergeCell ref="E5:E6"/>
    <mergeCell ref="F5:F6"/>
  </mergeCell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dimension ref="A1:S177"/>
  <sheetViews>
    <sheetView workbookViewId="0">
      <selection activeCell="B9" sqref="B9"/>
    </sheetView>
  </sheetViews>
  <sheetFormatPr defaultRowHeight="15"/>
  <cols>
    <col min="1" max="1" width="5.85546875" customWidth="1"/>
    <col min="2" max="2" width="36" customWidth="1"/>
    <col min="3" max="3" width="11.5703125" customWidth="1"/>
    <col min="12" max="12" width="7.85546875" customWidth="1"/>
    <col min="13" max="13" width="10.7109375" customWidth="1"/>
    <col min="16" max="16" width="10.7109375" customWidth="1"/>
  </cols>
  <sheetData>
    <row r="1" spans="1:19" ht="15.75">
      <c r="R1" s="26" t="s">
        <v>530</v>
      </c>
    </row>
    <row r="2" spans="1:19" ht="15.75">
      <c r="A2" s="774" t="s">
        <v>838</v>
      </c>
      <c r="B2" s="774"/>
      <c r="C2" s="774"/>
      <c r="D2" s="774"/>
      <c r="E2" s="774"/>
      <c r="F2" s="774"/>
      <c r="G2" s="774"/>
      <c r="H2" s="774"/>
      <c r="I2" s="774"/>
      <c r="J2" s="774"/>
      <c r="K2" s="774"/>
      <c r="L2" s="774"/>
      <c r="M2" s="774"/>
      <c r="N2" s="774"/>
      <c r="O2" s="774"/>
      <c r="P2" s="774"/>
      <c r="Q2" s="774"/>
      <c r="R2" s="774"/>
    </row>
    <row r="3" spans="1:19" ht="15.75">
      <c r="A3" s="774"/>
      <c r="B3" s="774"/>
      <c r="C3" s="774"/>
      <c r="D3" s="774"/>
      <c r="E3" s="774"/>
      <c r="F3" s="774"/>
      <c r="G3" s="774"/>
      <c r="H3" s="774"/>
      <c r="I3" s="774"/>
      <c r="J3" s="774"/>
      <c r="K3" s="774"/>
      <c r="L3" s="774"/>
      <c r="M3" s="774"/>
      <c r="N3" s="774"/>
      <c r="O3" s="774"/>
      <c r="P3" s="774"/>
      <c r="Q3" s="774"/>
      <c r="R3" s="774"/>
    </row>
    <row r="4" spans="1:19" ht="15.75">
      <c r="R4" s="27" t="s">
        <v>56</v>
      </c>
    </row>
    <row r="5" spans="1:19" ht="15.75">
      <c r="A5" s="773" t="s">
        <v>3</v>
      </c>
      <c r="B5" s="773" t="s">
        <v>161</v>
      </c>
      <c r="C5" s="773" t="s">
        <v>130</v>
      </c>
      <c r="D5" s="773" t="s">
        <v>389</v>
      </c>
      <c r="E5" s="773" t="s">
        <v>390</v>
      </c>
      <c r="F5" s="773" t="s">
        <v>505</v>
      </c>
      <c r="G5" s="773" t="s">
        <v>506</v>
      </c>
      <c r="H5" s="773" t="s">
        <v>507</v>
      </c>
      <c r="I5" s="773" t="s">
        <v>508</v>
      </c>
      <c r="J5" s="773" t="s">
        <v>509</v>
      </c>
      <c r="K5" s="773" t="s">
        <v>510</v>
      </c>
      <c r="L5" s="773" t="s">
        <v>511</v>
      </c>
      <c r="M5" s="773" t="s">
        <v>512</v>
      </c>
      <c r="N5" s="773" t="s">
        <v>162</v>
      </c>
      <c r="O5" s="773"/>
      <c r="P5" s="773" t="s">
        <v>513</v>
      </c>
      <c r="Q5" s="773" t="s">
        <v>514</v>
      </c>
      <c r="R5" s="773" t="s">
        <v>515</v>
      </c>
    </row>
    <row r="6" spans="1:19" ht="110.25">
      <c r="A6" s="773"/>
      <c r="B6" s="773"/>
      <c r="C6" s="773"/>
      <c r="D6" s="773"/>
      <c r="E6" s="773"/>
      <c r="F6" s="773"/>
      <c r="G6" s="773"/>
      <c r="H6" s="773"/>
      <c r="I6" s="773"/>
      <c r="J6" s="773"/>
      <c r="K6" s="773"/>
      <c r="L6" s="773"/>
      <c r="M6" s="773"/>
      <c r="N6" s="30" t="s">
        <v>531</v>
      </c>
      <c r="O6" s="30" t="s">
        <v>532</v>
      </c>
      <c r="P6" s="773"/>
      <c r="Q6" s="773"/>
      <c r="R6" s="773"/>
      <c r="S6" t="s">
        <v>1351</v>
      </c>
    </row>
    <row r="7" spans="1:19"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row>
    <row r="8" spans="1:19" s="471" customFormat="1" ht="15.75">
      <c r="A8" s="441"/>
      <c r="B8" s="53" t="s">
        <v>133</v>
      </c>
      <c r="C8" s="470">
        <f t="shared" ref="C8:R8" si="0">C9+C94</f>
        <v>2198406</v>
      </c>
      <c r="D8" s="470">
        <f t="shared" si="0"/>
        <v>437711</v>
      </c>
      <c r="E8" s="470">
        <f t="shared" si="0"/>
        <v>19850</v>
      </c>
      <c r="F8" s="470">
        <f t="shared" si="0"/>
        <v>34105</v>
      </c>
      <c r="G8" s="470">
        <f t="shared" si="0"/>
        <v>23000</v>
      </c>
      <c r="H8" s="470">
        <f t="shared" si="0"/>
        <v>383927</v>
      </c>
      <c r="I8" s="470">
        <f t="shared" si="0"/>
        <v>40346</v>
      </c>
      <c r="J8" s="470">
        <f t="shared" si="0"/>
        <v>2695</v>
      </c>
      <c r="K8" s="470">
        <f t="shared" si="0"/>
        <v>3250</v>
      </c>
      <c r="L8" s="470">
        <f t="shared" si="0"/>
        <v>0</v>
      </c>
      <c r="M8" s="470">
        <f t="shared" si="0"/>
        <v>1073609</v>
      </c>
      <c r="N8" s="470">
        <f t="shared" si="0"/>
        <v>925279</v>
      </c>
      <c r="O8" s="470">
        <f t="shared" si="0"/>
        <v>148330</v>
      </c>
      <c r="P8" s="470">
        <f t="shared" si="0"/>
        <v>107077</v>
      </c>
      <c r="Q8" s="470">
        <f t="shared" si="0"/>
        <v>26774</v>
      </c>
      <c r="R8" s="470">
        <f t="shared" si="0"/>
        <v>46062</v>
      </c>
      <c r="S8" s="471" t="s">
        <v>1352</v>
      </c>
    </row>
    <row r="9" spans="1:19" s="101" customFormat="1" ht="31.5">
      <c r="A9" s="189"/>
      <c r="B9" s="465" t="s">
        <v>1329</v>
      </c>
      <c r="C9" s="466">
        <f t="shared" ref="C9:R9" si="1">C10+C54+C65+C69+C70</f>
        <v>2065216</v>
      </c>
      <c r="D9" s="466">
        <f t="shared" si="1"/>
        <v>436711</v>
      </c>
      <c r="E9" s="466">
        <f t="shared" si="1"/>
        <v>19850</v>
      </c>
      <c r="F9" s="466">
        <f t="shared" si="1"/>
        <v>34105</v>
      </c>
      <c r="G9" s="466">
        <f t="shared" si="1"/>
        <v>23000</v>
      </c>
      <c r="H9" s="466">
        <f t="shared" si="1"/>
        <v>383927</v>
      </c>
      <c r="I9" s="466">
        <f t="shared" si="1"/>
        <v>40346</v>
      </c>
      <c r="J9" s="466">
        <f t="shared" si="1"/>
        <v>2695</v>
      </c>
      <c r="K9" s="466">
        <f t="shared" si="1"/>
        <v>3250</v>
      </c>
      <c r="L9" s="466">
        <f t="shared" si="1"/>
        <v>0</v>
      </c>
      <c r="M9" s="466">
        <f t="shared" si="1"/>
        <v>962681</v>
      </c>
      <c r="N9" s="466">
        <f t="shared" si="1"/>
        <v>877769</v>
      </c>
      <c r="O9" s="466">
        <f t="shared" si="1"/>
        <v>84912</v>
      </c>
      <c r="P9" s="466">
        <f t="shared" si="1"/>
        <v>107077</v>
      </c>
      <c r="Q9" s="466">
        <f t="shared" si="1"/>
        <v>26774</v>
      </c>
      <c r="R9" s="466">
        <f t="shared" si="1"/>
        <v>24800</v>
      </c>
      <c r="S9" s="101" t="s">
        <v>1352</v>
      </c>
    </row>
    <row r="10" spans="1:19" s="101" customFormat="1" ht="15.75">
      <c r="A10" s="74" t="s">
        <v>83</v>
      </c>
      <c r="B10" s="222" t="e">
        <f>'53-CK NSNN'!#REF!</f>
        <v>#REF!</v>
      </c>
      <c r="C10" s="168">
        <f>C11+C12+C13+C14+C15+C16+C17+C18+C19+C20+C21+C22+C23+C24+C27+C30+C31+C32+C33+C34+C35+C36+C37</f>
        <v>1995148</v>
      </c>
      <c r="D10" s="168">
        <f t="shared" ref="D10:R10" si="2">D11+D12+D13+D14+D15+D16+D17+D18+D19+D20+D21+D22+D23+D24+D27+D30+D31+D32+D33+D34+D35+D36+D37</f>
        <v>436711</v>
      </c>
      <c r="E10" s="168">
        <f t="shared" si="2"/>
        <v>19850</v>
      </c>
      <c r="F10" s="168">
        <f t="shared" si="2"/>
        <v>8835</v>
      </c>
      <c r="G10" s="168">
        <f t="shared" si="2"/>
        <v>3937</v>
      </c>
      <c r="H10" s="168">
        <f t="shared" si="2"/>
        <v>383927</v>
      </c>
      <c r="I10" s="168">
        <f t="shared" si="2"/>
        <v>40346</v>
      </c>
      <c r="J10" s="168">
        <f t="shared" si="2"/>
        <v>2695</v>
      </c>
      <c r="K10" s="168">
        <f t="shared" si="2"/>
        <v>3250</v>
      </c>
      <c r="L10" s="168">
        <f t="shared" si="2"/>
        <v>0</v>
      </c>
      <c r="M10" s="168">
        <f t="shared" si="2"/>
        <v>962681</v>
      </c>
      <c r="N10" s="168">
        <f t="shared" si="2"/>
        <v>877769</v>
      </c>
      <c r="O10" s="168">
        <f t="shared" si="2"/>
        <v>84912</v>
      </c>
      <c r="P10" s="168">
        <f t="shared" si="2"/>
        <v>91342</v>
      </c>
      <c r="Q10" s="168">
        <f t="shared" si="2"/>
        <v>26774</v>
      </c>
      <c r="R10" s="168">
        <f t="shared" si="2"/>
        <v>14800</v>
      </c>
      <c r="S10" s="101" t="s">
        <v>1352</v>
      </c>
    </row>
    <row r="11" spans="1:19" ht="15.75">
      <c r="A11" s="76">
        <v>1</v>
      </c>
      <c r="B11" s="221" t="e">
        <f>'53-CK NSNN'!#REF!</f>
        <v>#REF!</v>
      </c>
      <c r="C11" s="158">
        <f>D11+E11+F11+G11+H11+I11+J11+K11+L11+M11+P11+Q11+R11</f>
        <v>0</v>
      </c>
      <c r="D11" s="158"/>
      <c r="E11" s="158"/>
      <c r="F11" s="158"/>
      <c r="G11" s="158"/>
      <c r="H11" s="158"/>
      <c r="I11" s="158"/>
      <c r="J11" s="158"/>
      <c r="K11" s="158"/>
      <c r="L11" s="158"/>
      <c r="M11" s="158"/>
      <c r="N11" s="158"/>
      <c r="O11" s="158"/>
      <c r="P11" s="158"/>
      <c r="Q11" s="158"/>
      <c r="R11" s="158"/>
    </row>
    <row r="12" spans="1:19" ht="15.75">
      <c r="A12" s="76">
        <v>2</v>
      </c>
      <c r="B12" s="221" t="e">
        <f>'53-CK NSNN'!#REF!</f>
        <v>#REF!</v>
      </c>
      <c r="C12" s="158">
        <f>+D12+E12+F12+G12+H12+I12+J12+K12+L12+M12++P12+Q12+R12</f>
        <v>0</v>
      </c>
      <c r="D12" s="158"/>
      <c r="E12" s="158"/>
      <c r="F12" s="158"/>
      <c r="G12" s="158"/>
      <c r="H12" s="158"/>
      <c r="I12" s="158"/>
      <c r="J12" s="158"/>
      <c r="K12" s="158"/>
      <c r="L12" s="158"/>
      <c r="M12" s="158"/>
      <c r="N12" s="158"/>
      <c r="O12" s="158"/>
      <c r="P12" s="158"/>
      <c r="Q12" s="158"/>
      <c r="R12" s="158"/>
    </row>
    <row r="13" spans="1:19" ht="15.75">
      <c r="A13" s="76">
        <v>1</v>
      </c>
      <c r="B13" s="221" t="str">
        <f>'53-CK NSNN'!B12</f>
        <v>Văn phòng UBND tỉnh</v>
      </c>
      <c r="C13" s="158">
        <f t="shared" ref="C13:C53" si="3">+D13+E13+F13+G13+H13+I13+J13+K13+L13+M13++P13+Q13+R13</f>
        <v>46682</v>
      </c>
      <c r="D13" s="158"/>
      <c r="E13" s="158"/>
      <c r="F13" s="158"/>
      <c r="G13" s="158"/>
      <c r="H13" s="158"/>
      <c r="I13" s="158"/>
      <c r="J13" s="158"/>
      <c r="K13" s="158"/>
      <c r="L13" s="158"/>
      <c r="M13" s="158">
        <v>46682</v>
      </c>
      <c r="N13" s="158"/>
      <c r="O13" s="158">
        <f>+M13</f>
        <v>46682</v>
      </c>
      <c r="P13" s="158"/>
      <c r="Q13" s="158"/>
      <c r="R13" s="158"/>
      <c r="S13" t="s">
        <v>1352</v>
      </c>
    </row>
    <row r="14" spans="1:19" ht="15.75">
      <c r="A14" s="76">
        <v>4</v>
      </c>
      <c r="B14" s="221" t="e">
        <f>'53-CK NSNN'!#REF!</f>
        <v>#REF!</v>
      </c>
      <c r="C14" s="158">
        <f t="shared" si="3"/>
        <v>0</v>
      </c>
      <c r="D14" s="158"/>
      <c r="E14" s="158"/>
      <c r="F14" s="158"/>
      <c r="G14" s="158"/>
      <c r="H14" s="158"/>
      <c r="I14" s="158"/>
      <c r="J14" s="158"/>
      <c r="K14" s="158"/>
      <c r="L14" s="158"/>
      <c r="M14" s="158"/>
      <c r="N14" s="158"/>
      <c r="O14" s="158"/>
      <c r="P14" s="158"/>
      <c r="Q14" s="158"/>
      <c r="R14" s="158"/>
    </row>
    <row r="15" spans="1:19" ht="15.75">
      <c r="A15" s="76">
        <v>5</v>
      </c>
      <c r="B15" s="221" t="str">
        <f>'53-CK NSNN'!B16</f>
        <v>Sở Công thương</v>
      </c>
      <c r="C15" s="158">
        <f t="shared" si="3"/>
        <v>0</v>
      </c>
      <c r="D15" s="158"/>
      <c r="E15" s="158"/>
      <c r="F15" s="158"/>
      <c r="G15" s="158"/>
      <c r="H15" s="158"/>
      <c r="I15" s="158"/>
      <c r="J15" s="158"/>
      <c r="K15" s="158"/>
      <c r="L15" s="158"/>
      <c r="M15" s="158"/>
      <c r="N15" s="158"/>
      <c r="O15" s="158"/>
      <c r="P15" s="158"/>
      <c r="Q15" s="158"/>
      <c r="R15" s="158"/>
    </row>
    <row r="16" spans="1:19" ht="15.75">
      <c r="A16" s="76">
        <v>2</v>
      </c>
      <c r="B16" s="221" t="str">
        <f>'53-CK NSNN'!B18</f>
        <v>Sở Khoa học và Công nghệ</v>
      </c>
      <c r="C16" s="158">
        <f t="shared" si="3"/>
        <v>3202</v>
      </c>
      <c r="D16" s="158"/>
      <c r="E16" s="158"/>
      <c r="F16" s="158"/>
      <c r="G16" s="158"/>
      <c r="H16" s="158"/>
      <c r="I16" s="158"/>
      <c r="J16" s="158"/>
      <c r="K16" s="158"/>
      <c r="L16" s="158"/>
      <c r="M16" s="158"/>
      <c r="N16" s="158"/>
      <c r="O16" s="158"/>
      <c r="P16" s="158">
        <v>3202</v>
      </c>
      <c r="Q16" s="158"/>
      <c r="R16" s="158"/>
      <c r="S16" t="s">
        <v>1352</v>
      </c>
    </row>
    <row r="17" spans="1:19" ht="15.75">
      <c r="A17" s="76">
        <v>7</v>
      </c>
      <c r="B17" s="221" t="str">
        <f>'53-CK NSNN'!B20</f>
        <v>Sở Xây dựng</v>
      </c>
      <c r="C17" s="158">
        <f t="shared" si="3"/>
        <v>0</v>
      </c>
      <c r="D17" s="158"/>
      <c r="E17" s="158"/>
      <c r="F17" s="158"/>
      <c r="G17" s="158"/>
      <c r="H17" s="158"/>
      <c r="I17" s="158"/>
      <c r="J17" s="158"/>
      <c r="K17" s="158"/>
      <c r="L17" s="158"/>
      <c r="M17" s="158"/>
      <c r="N17" s="158"/>
      <c r="O17" s="158"/>
      <c r="P17" s="158"/>
      <c r="Q17" s="158"/>
      <c r="R17" s="158"/>
    </row>
    <row r="18" spans="1:19" ht="15.75">
      <c r="A18" s="76">
        <v>3</v>
      </c>
      <c r="B18" s="221" t="e">
        <f>'53-CK NSNN'!#REF!</f>
        <v>#REF!</v>
      </c>
      <c r="C18" s="158">
        <f t="shared" si="3"/>
        <v>1900</v>
      </c>
      <c r="D18" s="158"/>
      <c r="E18" s="158">
        <v>1900</v>
      </c>
      <c r="F18" s="158"/>
      <c r="G18" s="158"/>
      <c r="H18" s="158"/>
      <c r="I18" s="158"/>
      <c r="J18" s="158"/>
      <c r="K18" s="158"/>
      <c r="L18" s="158"/>
      <c r="M18" s="158"/>
      <c r="N18" s="158"/>
      <c r="O18" s="158"/>
      <c r="P18" s="158"/>
      <c r="Q18" s="158"/>
      <c r="R18" s="158"/>
      <c r="S18" t="s">
        <v>1352</v>
      </c>
    </row>
    <row r="19" spans="1:19" ht="15.75">
      <c r="A19" s="76">
        <v>9</v>
      </c>
      <c r="B19" s="221" t="e">
        <f>'53-CK NSNN'!#REF!</f>
        <v>#REF!</v>
      </c>
      <c r="C19" s="158">
        <f t="shared" si="3"/>
        <v>0</v>
      </c>
      <c r="D19" s="158"/>
      <c r="E19" s="158"/>
      <c r="F19" s="158"/>
      <c r="G19" s="158"/>
      <c r="H19" s="158"/>
      <c r="I19" s="158"/>
      <c r="J19" s="158"/>
      <c r="K19" s="158"/>
      <c r="L19" s="158"/>
      <c r="M19" s="158"/>
      <c r="N19" s="158"/>
      <c r="O19" s="158"/>
      <c r="P19" s="158"/>
      <c r="Q19" s="158"/>
      <c r="R19" s="158"/>
    </row>
    <row r="20" spans="1:19" ht="15.75">
      <c r="A20" s="76">
        <v>10</v>
      </c>
      <c r="B20" s="221" t="str">
        <f>'53-CK NSNN'!B22</f>
        <v>Ban An toàn giao thông</v>
      </c>
      <c r="C20" s="158">
        <f t="shared" si="3"/>
        <v>0</v>
      </c>
      <c r="D20" s="158"/>
      <c r="E20" s="158"/>
      <c r="F20" s="158"/>
      <c r="G20" s="158"/>
      <c r="H20" s="158"/>
      <c r="I20" s="158"/>
      <c r="J20" s="158"/>
      <c r="K20" s="158"/>
      <c r="L20" s="158"/>
      <c r="M20" s="158"/>
      <c r="N20" s="158"/>
      <c r="O20" s="158"/>
      <c r="P20" s="158"/>
      <c r="Q20" s="158"/>
      <c r="R20" s="158"/>
    </row>
    <row r="21" spans="1:19" ht="15.75">
      <c r="A21" s="76">
        <v>4</v>
      </c>
      <c r="B21" s="221" t="str">
        <f>'53-CK NSNN'!B23</f>
        <v>Sở Giáo dục và Đào tạo</v>
      </c>
      <c r="C21" s="158">
        <f t="shared" si="3"/>
        <v>644998</v>
      </c>
      <c r="D21" s="158"/>
      <c r="E21" s="158"/>
      <c r="F21" s="158"/>
      <c r="G21" s="158"/>
      <c r="H21" s="158"/>
      <c r="I21" s="158"/>
      <c r="J21" s="158"/>
      <c r="K21" s="158"/>
      <c r="L21" s="158"/>
      <c r="M21" s="158">
        <v>644998</v>
      </c>
      <c r="N21" s="158">
        <f>+M21</f>
        <v>644998</v>
      </c>
      <c r="O21" s="158"/>
      <c r="P21" s="158"/>
      <c r="Q21" s="158"/>
      <c r="R21" s="158"/>
      <c r="S21" t="s">
        <v>1352</v>
      </c>
    </row>
    <row r="22" spans="1:19" ht="15.75">
      <c r="A22" s="76">
        <v>12</v>
      </c>
      <c r="B22" s="221" t="e">
        <f>'53-CK NSNN'!#REF!</f>
        <v>#REF!</v>
      </c>
      <c r="C22" s="158">
        <f t="shared" si="3"/>
        <v>0</v>
      </c>
      <c r="D22" s="158"/>
      <c r="E22" s="158"/>
      <c r="F22" s="158"/>
      <c r="G22" s="158"/>
      <c r="H22" s="158"/>
      <c r="I22" s="158"/>
      <c r="J22" s="158"/>
      <c r="K22" s="158"/>
      <c r="L22" s="158"/>
      <c r="M22" s="158"/>
      <c r="N22" s="158"/>
      <c r="O22" s="158"/>
      <c r="P22" s="158"/>
      <c r="Q22" s="158"/>
      <c r="R22" s="158"/>
    </row>
    <row r="23" spans="1:19" ht="15.75">
      <c r="A23" s="76">
        <v>5</v>
      </c>
      <c r="B23" s="221" t="str">
        <f>'53-CK NSNN'!B25</f>
        <v>Sở Lao động TB và Xã hội</v>
      </c>
      <c r="C23" s="158">
        <f t="shared" si="3"/>
        <v>74101</v>
      </c>
      <c r="D23" s="158">
        <v>74101</v>
      </c>
      <c r="E23" s="158"/>
      <c r="F23" s="158"/>
      <c r="G23" s="158"/>
      <c r="H23" s="158"/>
      <c r="I23" s="158"/>
      <c r="J23" s="158"/>
      <c r="K23" s="158"/>
      <c r="L23" s="158"/>
      <c r="M23" s="158"/>
      <c r="N23" s="158"/>
      <c r="O23" s="158"/>
      <c r="P23" s="158"/>
      <c r="Q23" s="158"/>
      <c r="R23" s="158"/>
      <c r="S23" t="s">
        <v>1352</v>
      </c>
    </row>
    <row r="24" spans="1:19" ht="15.75">
      <c r="A24" s="76">
        <v>6</v>
      </c>
      <c r="B24" s="221" t="e">
        <f>'53-CK NSNN'!#REF!</f>
        <v>#REF!</v>
      </c>
      <c r="C24" s="158">
        <f t="shared" si="3"/>
        <v>190537</v>
      </c>
      <c r="D24" s="158"/>
      <c r="E24" s="158"/>
      <c r="F24" s="158"/>
      <c r="G24" s="158"/>
      <c r="H24" s="158">
        <f>H25+H26</f>
        <v>190537</v>
      </c>
      <c r="I24" s="158"/>
      <c r="J24" s="158"/>
      <c r="K24" s="158"/>
      <c r="L24" s="158"/>
      <c r="M24" s="158"/>
      <c r="N24" s="158"/>
      <c r="O24" s="158"/>
      <c r="P24" s="158"/>
      <c r="Q24" s="158"/>
      <c r="R24" s="158"/>
      <c r="S24" t="s">
        <v>1352</v>
      </c>
    </row>
    <row r="25" spans="1:19" ht="15.75">
      <c r="A25" s="76"/>
      <c r="B25" s="221" t="e">
        <f>'53-CK NSNN'!#REF!</f>
        <v>#REF!</v>
      </c>
      <c r="C25" s="158">
        <f t="shared" si="3"/>
        <v>168537</v>
      </c>
      <c r="D25" s="158"/>
      <c r="E25" s="158"/>
      <c r="F25" s="158"/>
      <c r="G25" s="158"/>
      <c r="H25" s="158">
        <f>168537</f>
        <v>168537</v>
      </c>
      <c r="I25" s="158"/>
      <c r="J25" s="158"/>
      <c r="K25" s="158"/>
      <c r="L25" s="158"/>
      <c r="M25" s="158"/>
      <c r="N25" s="158"/>
      <c r="O25" s="158"/>
      <c r="P25" s="158"/>
      <c r="Q25" s="158"/>
      <c r="R25" s="158"/>
      <c r="S25" t="s">
        <v>1352</v>
      </c>
    </row>
    <row r="26" spans="1:19" ht="15.75">
      <c r="A26" s="76"/>
      <c r="B26" s="221" t="s">
        <v>1333</v>
      </c>
      <c r="C26" s="158">
        <f t="shared" si="3"/>
        <v>22000</v>
      </c>
      <c r="D26" s="158"/>
      <c r="E26" s="158"/>
      <c r="F26" s="158"/>
      <c r="G26" s="158"/>
      <c r="H26" s="158">
        <v>22000</v>
      </c>
      <c r="I26" s="158"/>
      <c r="J26" s="158"/>
      <c r="K26" s="158"/>
      <c r="L26" s="158"/>
      <c r="M26" s="158"/>
      <c r="N26" s="158"/>
      <c r="O26" s="158"/>
      <c r="P26" s="158"/>
      <c r="Q26" s="158"/>
      <c r="R26" s="158"/>
      <c r="S26" t="s">
        <v>1352</v>
      </c>
    </row>
    <row r="27" spans="1:19" ht="15.75">
      <c r="A27" s="76">
        <v>7</v>
      </c>
      <c r="B27" s="221" t="e">
        <f>'53-CK NSNN'!#REF!</f>
        <v>#REF!</v>
      </c>
      <c r="C27" s="158">
        <f t="shared" si="3"/>
        <v>24194</v>
      </c>
      <c r="D27" s="158">
        <f>+D28+D29</f>
        <v>5000</v>
      </c>
      <c r="E27" s="158"/>
      <c r="F27" s="158"/>
      <c r="G27" s="158"/>
      <c r="H27" s="158"/>
      <c r="I27" s="158"/>
      <c r="J27" s="158"/>
      <c r="K27" s="158"/>
      <c r="L27" s="158"/>
      <c r="M27" s="158"/>
      <c r="N27" s="158"/>
      <c r="O27" s="158"/>
      <c r="P27" s="158"/>
      <c r="Q27" s="158">
        <f>Q28+Q29</f>
        <v>19194</v>
      </c>
      <c r="R27" s="158"/>
      <c r="S27" t="s">
        <v>1352</v>
      </c>
    </row>
    <row r="28" spans="1:19" ht="15.75">
      <c r="A28" s="76"/>
      <c r="B28" s="221" t="e">
        <f>'53-CK NSNN'!#REF!</f>
        <v>#REF!</v>
      </c>
      <c r="C28" s="158">
        <f t="shared" si="3"/>
        <v>19194</v>
      </c>
      <c r="D28" s="158"/>
      <c r="E28" s="158"/>
      <c r="F28" s="158"/>
      <c r="G28" s="158"/>
      <c r="H28" s="158"/>
      <c r="I28" s="158"/>
      <c r="J28" s="158"/>
      <c r="K28" s="158"/>
      <c r="L28" s="158"/>
      <c r="M28" s="158"/>
      <c r="N28" s="158"/>
      <c r="O28" s="158"/>
      <c r="P28" s="158"/>
      <c r="Q28" s="158">
        <v>19194</v>
      </c>
      <c r="R28" s="158"/>
      <c r="S28" t="s">
        <v>1352</v>
      </c>
    </row>
    <row r="29" spans="1:19" ht="15.75">
      <c r="A29" s="76"/>
      <c r="B29" s="221" t="s">
        <v>1334</v>
      </c>
      <c r="C29" s="158">
        <f t="shared" si="3"/>
        <v>5000</v>
      </c>
      <c r="D29" s="158">
        <v>5000</v>
      </c>
      <c r="E29" s="158"/>
      <c r="F29" s="158"/>
      <c r="G29" s="158"/>
      <c r="H29" s="158"/>
      <c r="I29" s="158"/>
      <c r="J29" s="158"/>
      <c r="K29" s="158"/>
      <c r="L29" s="158"/>
      <c r="M29" s="158"/>
      <c r="N29" s="158"/>
      <c r="O29" s="158"/>
      <c r="P29" s="158"/>
      <c r="Q29" s="158"/>
      <c r="R29" s="158"/>
      <c r="S29" t="s">
        <v>1352</v>
      </c>
    </row>
    <row r="30" spans="1:19" ht="15.75">
      <c r="A30" s="76">
        <v>8</v>
      </c>
      <c r="B30" s="221" t="e">
        <f>'53-CK NSNN'!#REF!</f>
        <v>#REF!</v>
      </c>
      <c r="C30" s="158">
        <f t="shared" si="3"/>
        <v>26117</v>
      </c>
      <c r="D30" s="158"/>
      <c r="E30" s="158"/>
      <c r="F30" s="158"/>
      <c r="G30" s="158"/>
      <c r="H30" s="158"/>
      <c r="I30" s="158">
        <v>17619</v>
      </c>
      <c r="J30" s="158"/>
      <c r="K30" s="158">
        <v>3250</v>
      </c>
      <c r="L30" s="158"/>
      <c r="M30" s="158"/>
      <c r="N30" s="158"/>
      <c r="O30" s="158"/>
      <c r="P30" s="158"/>
      <c r="Q30" s="158"/>
      <c r="R30" s="158">
        <v>5248</v>
      </c>
      <c r="S30" t="s">
        <v>1352</v>
      </c>
    </row>
    <row r="31" spans="1:19" ht="15.75">
      <c r="A31" s="76">
        <v>17</v>
      </c>
      <c r="B31" s="221" t="e">
        <f>'53-CK NSNN'!#REF!</f>
        <v>#REF!</v>
      </c>
      <c r="C31" s="158">
        <f t="shared" si="3"/>
        <v>0</v>
      </c>
      <c r="D31" s="158"/>
      <c r="E31" s="158"/>
      <c r="F31" s="158"/>
      <c r="G31" s="158"/>
      <c r="H31" s="158"/>
      <c r="I31" s="158"/>
      <c r="J31" s="158"/>
      <c r="K31" s="158"/>
      <c r="L31" s="158"/>
      <c r="M31" s="158"/>
      <c r="N31" s="158"/>
      <c r="O31" s="158"/>
      <c r="P31" s="158"/>
      <c r="Q31" s="158"/>
      <c r="R31" s="158"/>
    </row>
    <row r="32" spans="1:19" ht="15.75">
      <c r="A32" s="76">
        <v>9</v>
      </c>
      <c r="B32" s="221" t="e">
        <f>'53-CK NSNN'!#REF!</f>
        <v>#REF!</v>
      </c>
      <c r="C32" s="158">
        <f t="shared" si="3"/>
        <v>10950</v>
      </c>
      <c r="D32" s="158"/>
      <c r="E32" s="158">
        <v>10950</v>
      </c>
      <c r="F32" s="158"/>
      <c r="G32" s="158"/>
      <c r="H32" s="158"/>
      <c r="I32" s="158"/>
      <c r="J32" s="158"/>
      <c r="K32" s="158"/>
      <c r="L32" s="158"/>
      <c r="M32" s="158"/>
      <c r="N32" s="158"/>
      <c r="O32" s="158"/>
      <c r="P32" s="158"/>
      <c r="Q32" s="158"/>
      <c r="R32" s="158"/>
      <c r="S32" t="s">
        <v>1352</v>
      </c>
    </row>
    <row r="33" spans="1:19" ht="15.75">
      <c r="A33" s="76">
        <v>19</v>
      </c>
      <c r="B33" s="221" t="e">
        <f>'53-CK NSNN'!#REF!</f>
        <v>#REF!</v>
      </c>
      <c r="C33" s="158">
        <f t="shared" si="3"/>
        <v>0</v>
      </c>
      <c r="D33" s="158"/>
      <c r="E33" s="158"/>
      <c r="F33" s="158"/>
      <c r="G33" s="158"/>
      <c r="H33" s="158"/>
      <c r="I33" s="158"/>
      <c r="J33" s="158"/>
      <c r="K33" s="158"/>
      <c r="L33" s="158"/>
      <c r="M33" s="158"/>
      <c r="N33" s="158"/>
      <c r="O33" s="158"/>
      <c r="P33" s="158"/>
      <c r="Q33" s="158"/>
      <c r="R33" s="158"/>
    </row>
    <row r="34" spans="1:19" ht="15.75">
      <c r="A34" s="76">
        <v>20</v>
      </c>
      <c r="B34" s="221" t="e">
        <f>'53-CK NSNN'!#REF!</f>
        <v>#REF!</v>
      </c>
      <c r="C34" s="158">
        <f t="shared" si="3"/>
        <v>0</v>
      </c>
      <c r="D34" s="158"/>
      <c r="E34" s="158"/>
      <c r="F34" s="158"/>
      <c r="G34" s="158"/>
      <c r="H34" s="158"/>
      <c r="I34" s="158"/>
      <c r="J34" s="158"/>
      <c r="K34" s="158"/>
      <c r="L34" s="158"/>
      <c r="M34" s="158"/>
      <c r="N34" s="158"/>
      <c r="O34" s="158"/>
      <c r="P34" s="158"/>
      <c r="Q34" s="158"/>
      <c r="R34" s="158"/>
    </row>
    <row r="35" spans="1:19" ht="15.75">
      <c r="A35" s="76">
        <v>21</v>
      </c>
      <c r="B35" s="221" t="e">
        <f>'53-CK NSNN'!#REF!</f>
        <v>#REF!</v>
      </c>
      <c r="C35" s="158">
        <f t="shared" si="3"/>
        <v>0</v>
      </c>
      <c r="D35" s="158"/>
      <c r="E35" s="158"/>
      <c r="F35" s="158"/>
      <c r="G35" s="158"/>
      <c r="H35" s="158"/>
      <c r="I35" s="158"/>
      <c r="J35" s="158"/>
      <c r="K35" s="158"/>
      <c r="L35" s="158"/>
      <c r="M35" s="158"/>
      <c r="N35" s="158"/>
      <c r="O35" s="158"/>
      <c r="P35" s="158"/>
      <c r="Q35" s="158"/>
      <c r="R35" s="158"/>
    </row>
    <row r="36" spans="1:19" ht="15.75">
      <c r="A36" s="76">
        <v>10</v>
      </c>
      <c r="B36" s="221" t="e">
        <f>'53-CK NSNN'!#REF!</f>
        <v>#REF!</v>
      </c>
      <c r="C36" s="158">
        <f t="shared" si="3"/>
        <v>2695</v>
      </c>
      <c r="D36" s="158"/>
      <c r="E36" s="158"/>
      <c r="F36" s="158"/>
      <c r="G36" s="158"/>
      <c r="H36" s="158"/>
      <c r="I36" s="158"/>
      <c r="J36" s="158">
        <v>2695</v>
      </c>
      <c r="K36" s="158"/>
      <c r="L36" s="158"/>
      <c r="M36" s="158"/>
      <c r="N36" s="158"/>
      <c r="O36" s="158"/>
      <c r="P36" s="158"/>
      <c r="Q36" s="158"/>
      <c r="R36" s="158"/>
      <c r="S36" t="s">
        <v>1352</v>
      </c>
    </row>
    <row r="37" spans="1:19" ht="15.75">
      <c r="A37" s="76">
        <v>11</v>
      </c>
      <c r="B37" s="221" t="e">
        <f>'53-CK NSNN'!#REF!</f>
        <v>#REF!</v>
      </c>
      <c r="C37" s="158">
        <f t="shared" si="3"/>
        <v>969772</v>
      </c>
      <c r="D37" s="158">
        <f t="shared" ref="D37:R37" si="4">SUM(D38:D53)</f>
        <v>357610</v>
      </c>
      <c r="E37" s="158">
        <f t="shared" si="4"/>
        <v>7000</v>
      </c>
      <c r="F37" s="158">
        <f t="shared" si="4"/>
        <v>8835</v>
      </c>
      <c r="G37" s="158">
        <f t="shared" si="4"/>
        <v>3937</v>
      </c>
      <c r="H37" s="158">
        <f t="shared" si="4"/>
        <v>193390</v>
      </c>
      <c r="I37" s="158">
        <f t="shared" si="4"/>
        <v>22727</v>
      </c>
      <c r="J37" s="158">
        <f t="shared" si="4"/>
        <v>0</v>
      </c>
      <c r="K37" s="158">
        <f t="shared" si="4"/>
        <v>0</v>
      </c>
      <c r="L37" s="158">
        <f t="shared" si="4"/>
        <v>0</v>
      </c>
      <c r="M37" s="158">
        <f t="shared" si="4"/>
        <v>271001</v>
      </c>
      <c r="N37" s="158">
        <f t="shared" si="4"/>
        <v>232771</v>
      </c>
      <c r="O37" s="158">
        <f t="shared" si="4"/>
        <v>38230</v>
      </c>
      <c r="P37" s="158">
        <f t="shared" si="4"/>
        <v>88140</v>
      </c>
      <c r="Q37" s="158">
        <f t="shared" si="4"/>
        <v>7580</v>
      </c>
      <c r="R37" s="158">
        <f t="shared" si="4"/>
        <v>9552</v>
      </c>
      <c r="S37" t="s">
        <v>1352</v>
      </c>
    </row>
    <row r="38" spans="1:19" ht="31.5">
      <c r="A38" s="76"/>
      <c r="B38" s="221" t="s">
        <v>1335</v>
      </c>
      <c r="C38" s="158">
        <f t="shared" si="3"/>
        <v>235640</v>
      </c>
      <c r="D38" s="158">
        <v>47024</v>
      </c>
      <c r="E38" s="158">
        <v>7000</v>
      </c>
      <c r="F38" s="158"/>
      <c r="G38" s="158"/>
      <c r="H38" s="158">
        <v>129057</v>
      </c>
      <c r="I38" s="158">
        <v>5217</v>
      </c>
      <c r="J38" s="158"/>
      <c r="K38" s="158"/>
      <c r="L38" s="158"/>
      <c r="M38" s="158"/>
      <c r="N38" s="158"/>
      <c r="O38" s="158"/>
      <c r="P38" s="158">
        <v>39762</v>
      </c>
      <c r="Q38" s="158">
        <v>7580</v>
      </c>
      <c r="R38" s="158"/>
      <c r="S38" t="s">
        <v>1352</v>
      </c>
    </row>
    <row r="39" spans="1:19" ht="15.75">
      <c r="A39" s="76"/>
      <c r="B39" s="221" t="s">
        <v>1336</v>
      </c>
      <c r="C39" s="158">
        <f t="shared" si="3"/>
        <v>119595</v>
      </c>
      <c r="D39" s="158">
        <v>28755</v>
      </c>
      <c r="E39" s="158"/>
      <c r="F39" s="158"/>
      <c r="G39" s="158"/>
      <c r="H39" s="158">
        <v>1940</v>
      </c>
      <c r="I39" s="158"/>
      <c r="J39" s="158"/>
      <c r="K39" s="158"/>
      <c r="L39" s="158"/>
      <c r="M39" s="158">
        <v>88900</v>
      </c>
      <c r="N39" s="158">
        <f>+M39</f>
        <v>88900</v>
      </c>
      <c r="O39" s="158"/>
      <c r="P39" s="158"/>
      <c r="Q39" s="158"/>
      <c r="R39" s="158"/>
      <c r="S39" t="s">
        <v>1352</v>
      </c>
    </row>
    <row r="40" spans="1:19" ht="15.75">
      <c r="A40" s="76"/>
      <c r="B40" s="221" t="s">
        <v>1337</v>
      </c>
      <c r="C40" s="158">
        <f t="shared" si="3"/>
        <v>51857</v>
      </c>
      <c r="D40" s="158">
        <v>27902</v>
      </c>
      <c r="E40" s="158"/>
      <c r="F40" s="158">
        <v>2700</v>
      </c>
      <c r="G40" s="158"/>
      <c r="H40" s="158"/>
      <c r="I40" s="158">
        <v>2000</v>
      </c>
      <c r="J40" s="158"/>
      <c r="K40" s="158"/>
      <c r="L40" s="158"/>
      <c r="M40" s="158">
        <v>16255</v>
      </c>
      <c r="N40" s="158">
        <v>14738</v>
      </c>
      <c r="O40" s="158">
        <v>1517</v>
      </c>
      <c r="P40" s="158"/>
      <c r="Q40" s="158"/>
      <c r="R40" s="158">
        <v>3000</v>
      </c>
      <c r="S40" t="s">
        <v>1352</v>
      </c>
    </row>
    <row r="41" spans="1:19" ht="15.75">
      <c r="A41" s="76"/>
      <c r="B41" s="221" t="s">
        <v>1338</v>
      </c>
      <c r="C41" s="158">
        <f t="shared" si="3"/>
        <v>55450</v>
      </c>
      <c r="D41" s="158">
        <v>24216</v>
      </c>
      <c r="E41" s="158"/>
      <c r="F41" s="158">
        <v>5500</v>
      </c>
      <c r="G41" s="158"/>
      <c r="H41" s="158"/>
      <c r="I41" s="158"/>
      <c r="J41" s="158"/>
      <c r="K41" s="158"/>
      <c r="L41" s="158"/>
      <c r="M41" s="158">
        <v>18234</v>
      </c>
      <c r="N41" s="158">
        <v>11015</v>
      </c>
      <c r="O41" s="158">
        <v>7219</v>
      </c>
      <c r="P41" s="158">
        <v>7500</v>
      </c>
      <c r="Q41" s="158"/>
      <c r="R41" s="158"/>
      <c r="S41" t="s">
        <v>1352</v>
      </c>
    </row>
    <row r="42" spans="1:19" ht="15.75">
      <c r="A42" s="76"/>
      <c r="B42" s="221" t="s">
        <v>1339</v>
      </c>
      <c r="C42" s="158">
        <f t="shared" si="3"/>
        <v>23066</v>
      </c>
      <c r="D42" s="158">
        <v>9782</v>
      </c>
      <c r="E42" s="158"/>
      <c r="F42" s="158"/>
      <c r="G42" s="158"/>
      <c r="H42" s="158">
        <v>2000</v>
      </c>
      <c r="I42" s="158"/>
      <c r="J42" s="158"/>
      <c r="K42" s="158"/>
      <c r="L42" s="158"/>
      <c r="M42" s="158">
        <v>243</v>
      </c>
      <c r="N42" s="158"/>
      <c r="O42" s="158">
        <v>243</v>
      </c>
      <c r="P42" s="158">
        <v>11041</v>
      </c>
      <c r="Q42" s="158"/>
      <c r="R42" s="158"/>
      <c r="S42" t="s">
        <v>1352</v>
      </c>
    </row>
    <row r="43" spans="1:19" ht="15.75">
      <c r="A43" s="76"/>
      <c r="B43" s="221" t="s">
        <v>1340</v>
      </c>
      <c r="C43" s="158">
        <f t="shared" si="3"/>
        <v>84282</v>
      </c>
      <c r="D43" s="158">
        <v>26342</v>
      </c>
      <c r="E43" s="158"/>
      <c r="F43" s="158"/>
      <c r="G43" s="158"/>
      <c r="H43" s="158">
        <v>31533</v>
      </c>
      <c r="I43" s="158">
        <v>7478</v>
      </c>
      <c r="J43" s="158"/>
      <c r="K43" s="158"/>
      <c r="L43" s="158"/>
      <c r="M43" s="158">
        <v>12377</v>
      </c>
      <c r="N43" s="158">
        <v>8400</v>
      </c>
      <c r="O43" s="158">
        <v>3977</v>
      </c>
      <c r="P43" s="158"/>
      <c r="Q43" s="158"/>
      <c r="R43" s="158">
        <v>6552</v>
      </c>
      <c r="S43" t="s">
        <v>1352</v>
      </c>
    </row>
    <row r="44" spans="1:19" ht="15.75">
      <c r="A44" s="76"/>
      <c r="B44" s="221" t="s">
        <v>1341</v>
      </c>
      <c r="C44" s="158">
        <f t="shared" si="3"/>
        <v>26647</v>
      </c>
      <c r="D44" s="158">
        <v>12317</v>
      </c>
      <c r="E44" s="158"/>
      <c r="F44" s="158">
        <v>635</v>
      </c>
      <c r="G44" s="158"/>
      <c r="H44" s="158">
        <v>5150</v>
      </c>
      <c r="I44" s="158"/>
      <c r="J44" s="158"/>
      <c r="K44" s="158"/>
      <c r="L44" s="158"/>
      <c r="M44" s="158">
        <v>8545</v>
      </c>
      <c r="N44" s="158">
        <f>+M44</f>
        <v>8545</v>
      </c>
      <c r="O44" s="158"/>
      <c r="P44" s="158"/>
      <c r="Q44" s="158"/>
      <c r="R44" s="158"/>
      <c r="S44" t="s">
        <v>1352</v>
      </c>
    </row>
    <row r="45" spans="1:19" ht="15.75">
      <c r="A45" s="76"/>
      <c r="B45" s="221" t="s">
        <v>1342</v>
      </c>
      <c r="C45" s="158">
        <f t="shared" si="3"/>
        <v>29649</v>
      </c>
      <c r="D45" s="158">
        <v>16049</v>
      </c>
      <c r="E45" s="158"/>
      <c r="F45" s="158"/>
      <c r="G45" s="158"/>
      <c r="H45" s="158"/>
      <c r="I45" s="158"/>
      <c r="J45" s="158"/>
      <c r="K45" s="158"/>
      <c r="L45" s="158"/>
      <c r="M45" s="158">
        <v>9100</v>
      </c>
      <c r="N45" s="158">
        <v>7100</v>
      </c>
      <c r="O45" s="158">
        <v>2000</v>
      </c>
      <c r="P45" s="158">
        <v>4500</v>
      </c>
      <c r="Q45" s="158"/>
      <c r="R45" s="158"/>
      <c r="S45" t="s">
        <v>1352</v>
      </c>
    </row>
    <row r="46" spans="1:19" ht="15.75">
      <c r="A46" s="76"/>
      <c r="B46" s="221" t="s">
        <v>1343</v>
      </c>
      <c r="C46" s="158">
        <f t="shared" si="3"/>
        <v>25734</v>
      </c>
      <c r="D46" s="158">
        <v>19539</v>
      </c>
      <c r="E46" s="158"/>
      <c r="F46" s="158"/>
      <c r="G46" s="158"/>
      <c r="H46" s="158">
        <v>1635</v>
      </c>
      <c r="I46" s="158"/>
      <c r="J46" s="158"/>
      <c r="K46" s="158"/>
      <c r="L46" s="158"/>
      <c r="M46" s="158">
        <v>4080</v>
      </c>
      <c r="N46" s="158">
        <v>2080</v>
      </c>
      <c r="O46" s="158">
        <v>2000</v>
      </c>
      <c r="P46" s="158">
        <v>480</v>
      </c>
      <c r="Q46" s="158"/>
      <c r="R46" s="158"/>
      <c r="S46" t="s">
        <v>1352</v>
      </c>
    </row>
    <row r="47" spans="1:19" ht="15.75">
      <c r="A47" s="76"/>
      <c r="B47" s="221" t="s">
        <v>1344</v>
      </c>
      <c r="C47" s="158">
        <f t="shared" si="3"/>
        <v>61856</v>
      </c>
      <c r="D47" s="158">
        <v>8361</v>
      </c>
      <c r="E47" s="158"/>
      <c r="F47" s="158"/>
      <c r="G47" s="158">
        <v>3937</v>
      </c>
      <c r="H47" s="158">
        <v>1940</v>
      </c>
      <c r="I47" s="158"/>
      <c r="J47" s="158"/>
      <c r="K47" s="158"/>
      <c r="L47" s="158"/>
      <c r="M47" s="158">
        <v>36155</v>
      </c>
      <c r="N47" s="158">
        <v>31546</v>
      </c>
      <c r="O47" s="158">
        <v>4609</v>
      </c>
      <c r="P47" s="158">
        <v>11463</v>
      </c>
      <c r="Q47" s="158"/>
      <c r="R47" s="158"/>
      <c r="S47" t="s">
        <v>1352</v>
      </c>
    </row>
    <row r="48" spans="1:19" ht="15.75">
      <c r="A48" s="76"/>
      <c r="B48" s="221" t="s">
        <v>1345</v>
      </c>
      <c r="C48" s="158">
        <f t="shared" si="3"/>
        <v>46802</v>
      </c>
      <c r="D48" s="158">
        <v>20302</v>
      </c>
      <c r="E48" s="158"/>
      <c r="F48" s="158"/>
      <c r="G48" s="158"/>
      <c r="H48" s="158">
        <v>5300</v>
      </c>
      <c r="I48" s="158"/>
      <c r="J48" s="158"/>
      <c r="K48" s="158"/>
      <c r="L48" s="158"/>
      <c r="M48" s="158">
        <v>21200</v>
      </c>
      <c r="N48" s="158">
        <v>19200</v>
      </c>
      <c r="O48" s="158">
        <v>2000</v>
      </c>
      <c r="P48" s="158"/>
      <c r="Q48" s="158"/>
      <c r="R48" s="158"/>
      <c r="S48" t="s">
        <v>1352</v>
      </c>
    </row>
    <row r="49" spans="1:19" ht="15.75">
      <c r="A49" s="76"/>
      <c r="B49" s="221" t="s">
        <v>1346</v>
      </c>
      <c r="C49" s="158">
        <f t="shared" si="3"/>
        <v>30395</v>
      </c>
      <c r="D49" s="158">
        <v>12349</v>
      </c>
      <c r="E49" s="158"/>
      <c r="F49" s="158"/>
      <c r="G49" s="158"/>
      <c r="H49" s="158">
        <v>3200</v>
      </c>
      <c r="I49" s="158">
        <v>3000</v>
      </c>
      <c r="J49" s="158"/>
      <c r="K49" s="158"/>
      <c r="L49" s="158"/>
      <c r="M49" s="158">
        <v>8146</v>
      </c>
      <c r="N49" s="158">
        <v>5181</v>
      </c>
      <c r="O49" s="158">
        <v>2965</v>
      </c>
      <c r="P49" s="158">
        <v>3700</v>
      </c>
      <c r="Q49" s="158"/>
      <c r="R49" s="158"/>
      <c r="S49" t="s">
        <v>1352</v>
      </c>
    </row>
    <row r="50" spans="1:19" ht="15.75">
      <c r="A50" s="76"/>
      <c r="B50" s="221" t="s">
        <v>1347</v>
      </c>
      <c r="C50" s="158">
        <f t="shared" si="3"/>
        <v>25236</v>
      </c>
      <c r="D50" s="158">
        <v>15901</v>
      </c>
      <c r="E50" s="158"/>
      <c r="F50" s="158"/>
      <c r="G50" s="158"/>
      <c r="H50" s="158">
        <v>4335</v>
      </c>
      <c r="I50" s="158">
        <v>3000</v>
      </c>
      <c r="J50" s="158"/>
      <c r="K50" s="158"/>
      <c r="L50" s="158"/>
      <c r="M50" s="158">
        <v>2000</v>
      </c>
      <c r="N50" s="158">
        <v>2000</v>
      </c>
      <c r="O50" s="158"/>
      <c r="P50" s="158"/>
      <c r="Q50" s="158"/>
      <c r="R50" s="158"/>
      <c r="S50" t="s">
        <v>1352</v>
      </c>
    </row>
    <row r="51" spans="1:19" ht="15.75">
      <c r="A51" s="76"/>
      <c r="B51" s="221" t="s">
        <v>1348</v>
      </c>
      <c r="C51" s="158">
        <f t="shared" si="3"/>
        <v>26658</v>
      </c>
      <c r="D51" s="158">
        <v>22658</v>
      </c>
      <c r="E51" s="158"/>
      <c r="F51" s="158"/>
      <c r="G51" s="158"/>
      <c r="H51" s="158"/>
      <c r="I51" s="158"/>
      <c r="J51" s="158"/>
      <c r="K51" s="158"/>
      <c r="L51" s="158"/>
      <c r="M51" s="158">
        <v>4000</v>
      </c>
      <c r="N51" s="158">
        <v>1700</v>
      </c>
      <c r="O51" s="158">
        <v>2300</v>
      </c>
      <c r="P51" s="158"/>
      <c r="Q51" s="158"/>
      <c r="R51" s="158"/>
      <c r="S51" t="s">
        <v>1352</v>
      </c>
    </row>
    <row r="52" spans="1:19" ht="15.75">
      <c r="A52" s="76"/>
      <c r="B52" s="221" t="s">
        <v>1349</v>
      </c>
      <c r="C52" s="158">
        <f t="shared" si="3"/>
        <v>65588</v>
      </c>
      <c r="D52" s="158">
        <v>36086</v>
      </c>
      <c r="E52" s="158"/>
      <c r="F52" s="158"/>
      <c r="G52" s="158"/>
      <c r="H52" s="158">
        <v>2650</v>
      </c>
      <c r="I52" s="158"/>
      <c r="J52" s="158"/>
      <c r="K52" s="158"/>
      <c r="L52" s="158"/>
      <c r="M52" s="158">
        <v>19352</v>
      </c>
      <c r="N52" s="158">
        <v>16852</v>
      </c>
      <c r="O52" s="158">
        <v>2500</v>
      </c>
      <c r="P52" s="158">
        <v>7500</v>
      </c>
      <c r="Q52" s="158"/>
      <c r="R52" s="158"/>
      <c r="S52" t="s">
        <v>1352</v>
      </c>
    </row>
    <row r="53" spans="1:19" ht="15.75">
      <c r="A53" s="76"/>
      <c r="B53" s="221" t="s">
        <v>1350</v>
      </c>
      <c r="C53" s="158">
        <f t="shared" si="3"/>
        <v>61317</v>
      </c>
      <c r="D53" s="158">
        <v>30027</v>
      </c>
      <c r="E53" s="158"/>
      <c r="F53" s="158"/>
      <c r="G53" s="158"/>
      <c r="H53" s="158">
        <v>4650</v>
      </c>
      <c r="I53" s="158">
        <v>2032</v>
      </c>
      <c r="J53" s="158"/>
      <c r="K53" s="158"/>
      <c r="L53" s="158"/>
      <c r="M53" s="158">
        <v>22414</v>
      </c>
      <c r="N53" s="158">
        <v>15514</v>
      </c>
      <c r="O53" s="158">
        <v>6900</v>
      </c>
      <c r="P53" s="158">
        <v>2194</v>
      </c>
      <c r="Q53" s="158"/>
      <c r="R53" s="158"/>
      <c r="S53" t="s">
        <v>1352</v>
      </c>
    </row>
    <row r="54" spans="1:19" s="101" customFormat="1" ht="15.75">
      <c r="A54" s="74" t="s">
        <v>70</v>
      </c>
      <c r="B54" s="222" t="e">
        <f>'53-CK NSNN'!#REF!</f>
        <v>#REF!</v>
      </c>
      <c r="C54" s="168">
        <f>C55+SUM(C58:C64)</f>
        <v>10000</v>
      </c>
      <c r="D54" s="168">
        <f t="shared" ref="D54:R54" si="5">D55+SUM(D58:D64)</f>
        <v>0</v>
      </c>
      <c r="E54" s="168">
        <f t="shared" si="5"/>
        <v>0</v>
      </c>
      <c r="F54" s="168">
        <f t="shared" si="5"/>
        <v>0</v>
      </c>
      <c r="G54" s="168">
        <f t="shared" si="5"/>
        <v>0</v>
      </c>
      <c r="H54" s="168">
        <f t="shared" si="5"/>
        <v>0</v>
      </c>
      <c r="I54" s="168">
        <f t="shared" si="5"/>
        <v>0</v>
      </c>
      <c r="J54" s="168">
        <f t="shared" si="5"/>
        <v>0</v>
      </c>
      <c r="K54" s="168">
        <f t="shared" si="5"/>
        <v>0</v>
      </c>
      <c r="L54" s="168">
        <f t="shared" si="5"/>
        <v>0</v>
      </c>
      <c r="M54" s="168">
        <f t="shared" si="5"/>
        <v>0</v>
      </c>
      <c r="N54" s="168">
        <f t="shared" si="5"/>
        <v>0</v>
      </c>
      <c r="O54" s="168">
        <f t="shared" si="5"/>
        <v>0</v>
      </c>
      <c r="P54" s="168">
        <f t="shared" si="5"/>
        <v>0</v>
      </c>
      <c r="Q54" s="168">
        <f t="shared" si="5"/>
        <v>0</v>
      </c>
      <c r="R54" s="168">
        <f t="shared" si="5"/>
        <v>10000</v>
      </c>
      <c r="S54" s="101" t="s">
        <v>1352</v>
      </c>
    </row>
    <row r="55" spans="1:19" ht="15.75">
      <c r="A55" s="76">
        <v>1</v>
      </c>
      <c r="B55" s="221" t="e">
        <f>'53-CK NSNN'!#REF!</f>
        <v>#REF!</v>
      </c>
      <c r="C55" s="158">
        <f t="shared" ref="C55:C92" si="6">+D55+E55+F55+G55+H55+I55+J55+K55+L55+M55++P55+Q55+R55</f>
        <v>10000</v>
      </c>
      <c r="D55" s="158">
        <f t="shared" ref="D55:Q55" si="7">+D56+D57</f>
        <v>0</v>
      </c>
      <c r="E55" s="158">
        <f t="shared" si="7"/>
        <v>0</v>
      </c>
      <c r="F55" s="158">
        <f t="shared" si="7"/>
        <v>0</v>
      </c>
      <c r="G55" s="158">
        <f t="shared" si="7"/>
        <v>0</v>
      </c>
      <c r="H55" s="158">
        <f t="shared" si="7"/>
        <v>0</v>
      </c>
      <c r="I55" s="158">
        <f t="shared" si="7"/>
        <v>0</v>
      </c>
      <c r="J55" s="158">
        <f t="shared" si="7"/>
        <v>0</v>
      </c>
      <c r="K55" s="158">
        <f t="shared" si="7"/>
        <v>0</v>
      </c>
      <c r="L55" s="158">
        <f t="shared" si="7"/>
        <v>0</v>
      </c>
      <c r="M55" s="158">
        <f t="shared" si="7"/>
        <v>0</v>
      </c>
      <c r="N55" s="158">
        <f t="shared" si="7"/>
        <v>0</v>
      </c>
      <c r="O55" s="158">
        <f t="shared" si="7"/>
        <v>0</v>
      </c>
      <c r="P55" s="158">
        <f t="shared" si="7"/>
        <v>0</v>
      </c>
      <c r="Q55" s="158">
        <f t="shared" si="7"/>
        <v>0</v>
      </c>
      <c r="R55" s="158">
        <f>+R56+R57</f>
        <v>10000</v>
      </c>
      <c r="S55" t="s">
        <v>1352</v>
      </c>
    </row>
    <row r="56" spans="1:19" ht="15.75">
      <c r="A56" s="76"/>
      <c r="B56" s="221" t="e">
        <f>'53-CK NSNN'!#REF!</f>
        <v>#REF!</v>
      </c>
      <c r="C56" s="158">
        <f t="shared" si="6"/>
        <v>10000</v>
      </c>
      <c r="D56" s="158"/>
      <c r="E56" s="158"/>
      <c r="F56" s="158"/>
      <c r="G56" s="158"/>
      <c r="H56" s="158"/>
      <c r="I56" s="158"/>
      <c r="J56" s="158"/>
      <c r="K56" s="158"/>
      <c r="L56" s="158"/>
      <c r="M56" s="158"/>
      <c r="N56" s="158"/>
      <c r="O56" s="158"/>
      <c r="P56" s="158"/>
      <c r="Q56" s="158"/>
      <c r="R56" s="158">
        <v>10000</v>
      </c>
    </row>
    <row r="57" spans="1:19" ht="15.75">
      <c r="A57" s="76"/>
      <c r="B57" s="221" t="e">
        <f>'53-CK NSNN'!#REF!</f>
        <v>#REF!</v>
      </c>
      <c r="C57" s="158">
        <f t="shared" si="6"/>
        <v>0</v>
      </c>
      <c r="D57" s="158"/>
      <c r="E57" s="158"/>
      <c r="F57" s="158"/>
      <c r="G57" s="158"/>
      <c r="H57" s="158"/>
      <c r="I57" s="158"/>
      <c r="J57" s="158"/>
      <c r="K57" s="158"/>
      <c r="L57" s="158"/>
      <c r="M57" s="158"/>
      <c r="N57" s="158"/>
      <c r="O57" s="158"/>
      <c r="P57" s="158"/>
      <c r="Q57" s="158"/>
      <c r="R57" s="158"/>
    </row>
    <row r="58" spans="1:19" ht="15.75">
      <c r="A58" s="76">
        <v>2</v>
      </c>
      <c r="B58" s="221" t="e">
        <f>'53-CK NSNN'!#REF!</f>
        <v>#REF!</v>
      </c>
      <c r="C58" s="158">
        <f t="shared" si="6"/>
        <v>0</v>
      </c>
      <c r="D58" s="158"/>
      <c r="E58" s="158"/>
      <c r="F58" s="158"/>
      <c r="G58" s="158"/>
      <c r="H58" s="158"/>
      <c r="I58" s="158"/>
      <c r="J58" s="158"/>
      <c r="K58" s="158"/>
      <c r="L58" s="158"/>
      <c r="M58" s="158"/>
      <c r="N58" s="158"/>
      <c r="O58" s="158"/>
      <c r="P58" s="158"/>
      <c r="Q58" s="158"/>
      <c r="R58" s="158"/>
    </row>
    <row r="59" spans="1:19" ht="15.75">
      <c r="A59" s="76">
        <v>3</v>
      </c>
      <c r="B59" s="221" t="e">
        <f>'53-CK NSNN'!#REF!</f>
        <v>#REF!</v>
      </c>
      <c r="C59" s="158">
        <f t="shared" si="6"/>
        <v>0</v>
      </c>
      <c r="D59" s="158"/>
      <c r="E59" s="158"/>
      <c r="F59" s="158"/>
      <c r="G59" s="158"/>
      <c r="H59" s="158"/>
      <c r="I59" s="158"/>
      <c r="J59" s="158"/>
      <c r="K59" s="158"/>
      <c r="L59" s="158"/>
      <c r="M59" s="158"/>
      <c r="N59" s="158"/>
      <c r="O59" s="158"/>
      <c r="P59" s="158"/>
      <c r="Q59" s="158"/>
      <c r="R59" s="158"/>
    </row>
    <row r="60" spans="1:19" ht="15.75">
      <c r="A60" s="76">
        <v>4</v>
      </c>
      <c r="B60" s="221" t="e">
        <f>'53-CK NSNN'!#REF!</f>
        <v>#REF!</v>
      </c>
      <c r="C60" s="158">
        <f t="shared" si="6"/>
        <v>0</v>
      </c>
      <c r="D60" s="158"/>
      <c r="E60" s="158"/>
      <c r="F60" s="158"/>
      <c r="G60" s="158"/>
      <c r="H60" s="158"/>
      <c r="I60" s="158"/>
      <c r="J60" s="158"/>
      <c r="K60" s="158"/>
      <c r="L60" s="158"/>
      <c r="M60" s="158"/>
      <c r="N60" s="158"/>
      <c r="O60" s="158"/>
      <c r="P60" s="158"/>
      <c r="Q60" s="158"/>
      <c r="R60" s="158"/>
    </row>
    <row r="61" spans="1:19" ht="15.75">
      <c r="A61" s="76">
        <v>5</v>
      </c>
      <c r="B61" s="221" t="e">
        <f>'53-CK NSNN'!#REF!</f>
        <v>#REF!</v>
      </c>
      <c r="C61" s="158">
        <f t="shared" si="6"/>
        <v>0</v>
      </c>
      <c r="D61" s="158"/>
      <c r="E61" s="158"/>
      <c r="F61" s="158"/>
      <c r="G61" s="158"/>
      <c r="H61" s="158"/>
      <c r="I61" s="158"/>
      <c r="J61" s="158"/>
      <c r="K61" s="158"/>
      <c r="L61" s="158"/>
      <c r="M61" s="158"/>
      <c r="N61" s="158"/>
      <c r="O61" s="158"/>
      <c r="P61" s="158"/>
      <c r="Q61" s="158"/>
      <c r="R61" s="158"/>
    </row>
    <row r="62" spans="1:19" ht="15.75">
      <c r="A62" s="76">
        <v>6</v>
      </c>
      <c r="B62" s="221" t="e">
        <f>'53-CK NSNN'!#REF!</f>
        <v>#REF!</v>
      </c>
      <c r="C62" s="158">
        <f t="shared" si="6"/>
        <v>0</v>
      </c>
      <c r="D62" s="158"/>
      <c r="E62" s="158"/>
      <c r="F62" s="158"/>
      <c r="G62" s="158"/>
      <c r="H62" s="158"/>
      <c r="I62" s="158"/>
      <c r="J62" s="158"/>
      <c r="K62" s="158"/>
      <c r="L62" s="158"/>
      <c r="M62" s="158"/>
      <c r="N62" s="158"/>
      <c r="O62" s="158"/>
      <c r="P62" s="158"/>
      <c r="Q62" s="158"/>
      <c r="R62" s="158"/>
    </row>
    <row r="63" spans="1:19" ht="15.75">
      <c r="A63" s="76">
        <v>7</v>
      </c>
      <c r="B63" s="221" t="e">
        <f>'53-CK NSNN'!#REF!</f>
        <v>#REF!</v>
      </c>
      <c r="C63" s="158">
        <f t="shared" si="6"/>
        <v>0</v>
      </c>
      <c r="D63" s="158"/>
      <c r="E63" s="158"/>
      <c r="F63" s="158"/>
      <c r="G63" s="158"/>
      <c r="H63" s="158"/>
      <c r="I63" s="158"/>
      <c r="J63" s="158"/>
      <c r="K63" s="158"/>
      <c r="L63" s="158"/>
      <c r="M63" s="158"/>
      <c r="N63" s="158"/>
      <c r="O63" s="158"/>
      <c r="P63" s="158"/>
      <c r="Q63" s="158"/>
      <c r="R63" s="158"/>
    </row>
    <row r="64" spans="1:19" ht="15.75">
      <c r="A64" s="76">
        <v>8</v>
      </c>
      <c r="B64" s="221" t="e">
        <f>'53-CK NSNN'!#REF!</f>
        <v>#REF!</v>
      </c>
      <c r="C64" s="158">
        <f t="shared" si="6"/>
        <v>0</v>
      </c>
      <c r="D64" s="158"/>
      <c r="E64" s="158"/>
      <c r="F64" s="158"/>
      <c r="G64" s="158"/>
      <c r="H64" s="158"/>
      <c r="I64" s="158"/>
      <c r="J64" s="158"/>
      <c r="K64" s="158"/>
      <c r="L64" s="158"/>
      <c r="M64" s="158"/>
      <c r="N64" s="158"/>
      <c r="O64" s="158"/>
      <c r="P64" s="158"/>
      <c r="Q64" s="158"/>
      <c r="R64" s="158"/>
    </row>
    <row r="65" spans="1:19" ht="15.75">
      <c r="A65" s="74" t="s">
        <v>73</v>
      </c>
      <c r="B65" s="222" t="e">
        <f>'53-CK NSNN'!#REF!</f>
        <v>#REF!</v>
      </c>
      <c r="C65" s="168">
        <f>SUM(C66:C68)</f>
        <v>44333</v>
      </c>
      <c r="D65" s="168">
        <f t="shared" ref="D65:R65" si="8">SUM(D66:D68)</f>
        <v>0</v>
      </c>
      <c r="E65" s="168">
        <f t="shared" si="8"/>
        <v>0</v>
      </c>
      <c r="F65" s="168">
        <f t="shared" si="8"/>
        <v>25270</v>
      </c>
      <c r="G65" s="168">
        <f t="shared" si="8"/>
        <v>19063</v>
      </c>
      <c r="H65" s="168">
        <f t="shared" si="8"/>
        <v>0</v>
      </c>
      <c r="I65" s="168">
        <f t="shared" si="8"/>
        <v>0</v>
      </c>
      <c r="J65" s="168">
        <f t="shared" si="8"/>
        <v>0</v>
      </c>
      <c r="K65" s="168">
        <f t="shared" si="8"/>
        <v>0</v>
      </c>
      <c r="L65" s="168">
        <f t="shared" si="8"/>
        <v>0</v>
      </c>
      <c r="M65" s="168">
        <f t="shared" si="8"/>
        <v>0</v>
      </c>
      <c r="N65" s="168">
        <f t="shared" si="8"/>
        <v>0</v>
      </c>
      <c r="O65" s="168">
        <f t="shared" si="8"/>
        <v>0</v>
      </c>
      <c r="P65" s="168">
        <f t="shared" si="8"/>
        <v>0</v>
      </c>
      <c r="Q65" s="168">
        <f t="shared" si="8"/>
        <v>0</v>
      </c>
      <c r="R65" s="168">
        <f t="shared" si="8"/>
        <v>0</v>
      </c>
      <c r="S65" t="s">
        <v>1352</v>
      </c>
    </row>
    <row r="66" spans="1:19" ht="15.75">
      <c r="A66" s="76">
        <v>1</v>
      </c>
      <c r="B66" s="221" t="e">
        <f>'53-CK NSNN'!#REF!</f>
        <v>#REF!</v>
      </c>
      <c r="C66" s="158">
        <f t="shared" si="6"/>
        <v>19063</v>
      </c>
      <c r="D66" s="158"/>
      <c r="E66" s="158"/>
      <c r="F66" s="158"/>
      <c r="G66" s="158">
        <v>19063</v>
      </c>
      <c r="H66" s="158"/>
      <c r="I66" s="158"/>
      <c r="J66" s="158"/>
      <c r="K66" s="158"/>
      <c r="L66" s="158"/>
      <c r="M66" s="158"/>
      <c r="N66" s="158"/>
      <c r="O66" s="158"/>
      <c r="P66" s="158"/>
      <c r="Q66" s="158"/>
      <c r="R66" s="158"/>
      <c r="S66" t="s">
        <v>1352</v>
      </c>
    </row>
    <row r="67" spans="1:19" ht="15.75">
      <c r="A67" s="76">
        <v>2</v>
      </c>
      <c r="B67" s="221" t="e">
        <f>'53-CK NSNN'!#REF!</f>
        <v>#REF!</v>
      </c>
      <c r="C67" s="158">
        <f t="shared" si="6"/>
        <v>16570</v>
      </c>
      <c r="D67" s="158"/>
      <c r="E67" s="158"/>
      <c r="F67" s="158">
        <v>16570</v>
      </c>
      <c r="G67" s="158"/>
      <c r="H67" s="158"/>
      <c r="I67" s="158"/>
      <c r="J67" s="158"/>
      <c r="K67" s="158"/>
      <c r="L67" s="158"/>
      <c r="M67" s="158"/>
      <c r="N67" s="158"/>
      <c r="O67" s="158"/>
      <c r="P67" s="158"/>
      <c r="Q67" s="158"/>
      <c r="R67" s="158"/>
      <c r="S67" t="s">
        <v>1352</v>
      </c>
    </row>
    <row r="68" spans="1:19" ht="15.75">
      <c r="A68" s="76">
        <v>3</v>
      </c>
      <c r="B68" s="221" t="e">
        <f>'53-CK NSNN'!#REF!</f>
        <v>#REF!</v>
      </c>
      <c r="C68" s="158">
        <f t="shared" si="6"/>
        <v>8700</v>
      </c>
      <c r="D68" s="158"/>
      <c r="E68" s="158"/>
      <c r="F68" s="158">
        <v>8700</v>
      </c>
      <c r="G68" s="158"/>
      <c r="H68" s="158"/>
      <c r="I68" s="158"/>
      <c r="J68" s="158"/>
      <c r="K68" s="158"/>
      <c r="L68" s="158"/>
      <c r="M68" s="158"/>
      <c r="N68" s="158"/>
      <c r="O68" s="158"/>
      <c r="P68" s="158"/>
      <c r="Q68" s="158"/>
      <c r="R68" s="158"/>
      <c r="S68" t="s">
        <v>1352</v>
      </c>
    </row>
    <row r="69" spans="1:19" s="101" customFormat="1" ht="15.75">
      <c r="A69" s="74" t="s">
        <v>77</v>
      </c>
      <c r="B69" s="222" t="e">
        <f>'53-CK NSNN'!#REF!</f>
        <v>#REF!</v>
      </c>
      <c r="C69" s="168">
        <f t="shared" si="6"/>
        <v>0</v>
      </c>
      <c r="D69" s="168"/>
      <c r="E69" s="168"/>
      <c r="F69" s="168"/>
      <c r="G69" s="168"/>
      <c r="H69" s="168"/>
      <c r="I69" s="168"/>
      <c r="J69" s="168"/>
      <c r="K69" s="168"/>
      <c r="L69" s="168"/>
      <c r="M69" s="168"/>
      <c r="N69" s="168"/>
      <c r="O69" s="168"/>
      <c r="P69" s="168"/>
      <c r="Q69" s="168"/>
      <c r="R69" s="168"/>
    </row>
    <row r="70" spans="1:19" s="101" customFormat="1" ht="15.75">
      <c r="A70" s="74" t="s">
        <v>113</v>
      </c>
      <c r="B70" s="222" t="e">
        <f>'53-CK NSNN'!#REF!</f>
        <v>#REF!</v>
      </c>
      <c r="C70" s="168">
        <f>+D70+E70+F70+G70+H70+I70+J70+K70+L70+M70++P70+Q70+R70</f>
        <v>15735</v>
      </c>
      <c r="D70" s="168">
        <f>SUM(D71:D90)</f>
        <v>0</v>
      </c>
      <c r="E70" s="168">
        <f t="shared" ref="E70:R70" si="9">SUM(E71:E90)</f>
        <v>0</v>
      </c>
      <c r="F70" s="168">
        <f t="shared" si="9"/>
        <v>0</v>
      </c>
      <c r="G70" s="168">
        <f t="shared" si="9"/>
        <v>0</v>
      </c>
      <c r="H70" s="168">
        <f t="shared" si="9"/>
        <v>0</v>
      </c>
      <c r="I70" s="168">
        <f t="shared" si="9"/>
        <v>0</v>
      </c>
      <c r="J70" s="168">
        <f t="shared" si="9"/>
        <v>0</v>
      </c>
      <c r="K70" s="168">
        <f t="shared" si="9"/>
        <v>0</v>
      </c>
      <c r="L70" s="168">
        <f t="shared" si="9"/>
        <v>0</v>
      </c>
      <c r="M70" s="168">
        <f t="shared" si="9"/>
        <v>0</v>
      </c>
      <c r="N70" s="168">
        <f t="shared" si="9"/>
        <v>0</v>
      </c>
      <c r="O70" s="168">
        <f t="shared" si="9"/>
        <v>0</v>
      </c>
      <c r="P70" s="168">
        <f t="shared" si="9"/>
        <v>15735</v>
      </c>
      <c r="Q70" s="168">
        <f t="shared" si="9"/>
        <v>0</v>
      </c>
      <c r="R70" s="168">
        <f t="shared" si="9"/>
        <v>0</v>
      </c>
      <c r="S70" s="101" t="s">
        <v>1352</v>
      </c>
    </row>
    <row r="71" spans="1:19" ht="15.75">
      <c r="A71" s="76">
        <v>1</v>
      </c>
      <c r="B71" s="221" t="e">
        <f>'53-CK NSNN'!#REF!</f>
        <v>#REF!</v>
      </c>
      <c r="C71" s="158">
        <f t="shared" si="6"/>
        <v>0</v>
      </c>
      <c r="D71" s="158"/>
      <c r="E71" s="158"/>
      <c r="F71" s="158"/>
      <c r="G71" s="158"/>
      <c r="H71" s="158"/>
      <c r="I71" s="158"/>
      <c r="J71" s="158"/>
      <c r="K71" s="158"/>
      <c r="L71" s="158"/>
      <c r="M71" s="158"/>
      <c r="N71" s="158"/>
      <c r="O71" s="158"/>
      <c r="P71" s="158"/>
      <c r="Q71" s="158"/>
      <c r="R71" s="158"/>
    </row>
    <row r="72" spans="1:19" ht="15.75">
      <c r="A72" s="76">
        <v>2</v>
      </c>
      <c r="B72" s="221" t="e">
        <f>'53-CK NSNN'!#REF!</f>
        <v>#REF!</v>
      </c>
      <c r="C72" s="158">
        <f t="shared" si="6"/>
        <v>0</v>
      </c>
      <c r="D72" s="158"/>
      <c r="E72" s="158"/>
      <c r="F72" s="158"/>
      <c r="G72" s="158"/>
      <c r="H72" s="158"/>
      <c r="I72" s="158"/>
      <c r="J72" s="158"/>
      <c r="K72" s="158"/>
      <c r="L72" s="158"/>
      <c r="M72" s="158"/>
      <c r="N72" s="158"/>
      <c r="O72" s="158"/>
      <c r="P72" s="158"/>
      <c r="Q72" s="158"/>
      <c r="R72" s="158"/>
    </row>
    <row r="73" spans="1:19" ht="15.75">
      <c r="A73" s="76">
        <v>3</v>
      </c>
      <c r="B73" s="221" t="e">
        <f>'53-CK NSNN'!#REF!</f>
        <v>#REF!</v>
      </c>
      <c r="C73" s="158">
        <f t="shared" si="6"/>
        <v>0</v>
      </c>
      <c r="D73" s="158"/>
      <c r="E73" s="158"/>
      <c r="F73" s="158"/>
      <c r="G73" s="158"/>
      <c r="H73" s="158"/>
      <c r="I73" s="158"/>
      <c r="J73" s="158"/>
      <c r="K73" s="158"/>
      <c r="L73" s="158"/>
      <c r="M73" s="158"/>
      <c r="N73" s="158"/>
      <c r="O73" s="158"/>
      <c r="P73" s="158"/>
      <c r="Q73" s="158"/>
      <c r="R73" s="158"/>
    </row>
    <row r="74" spans="1:19" ht="15.75">
      <c r="A74" s="76">
        <v>4</v>
      </c>
      <c r="B74" s="221" t="e">
        <f>'53-CK NSNN'!#REF!</f>
        <v>#REF!</v>
      </c>
      <c r="C74" s="158">
        <f t="shared" si="6"/>
        <v>0</v>
      </c>
      <c r="D74" s="158"/>
      <c r="E74" s="158"/>
      <c r="F74" s="158"/>
      <c r="G74" s="158"/>
      <c r="H74" s="158"/>
      <c r="I74" s="158"/>
      <c r="J74" s="158"/>
      <c r="K74" s="158"/>
      <c r="L74" s="158"/>
      <c r="M74" s="158"/>
      <c r="N74" s="158"/>
      <c r="O74" s="158"/>
      <c r="P74" s="158"/>
      <c r="Q74" s="158"/>
      <c r="R74" s="158"/>
    </row>
    <row r="75" spans="1:19" ht="15.75">
      <c r="A75" s="76">
        <v>5</v>
      </c>
      <c r="B75" s="221" t="e">
        <f>'53-CK NSNN'!#REF!</f>
        <v>#REF!</v>
      </c>
      <c r="C75" s="158">
        <f t="shared" si="6"/>
        <v>0</v>
      </c>
      <c r="D75" s="158"/>
      <c r="E75" s="158"/>
      <c r="F75" s="158"/>
      <c r="G75" s="158"/>
      <c r="H75" s="158"/>
      <c r="I75" s="158"/>
      <c r="J75" s="158"/>
      <c r="K75" s="158"/>
      <c r="L75" s="158"/>
      <c r="M75" s="158"/>
      <c r="N75" s="158"/>
      <c r="O75" s="158"/>
      <c r="P75" s="158"/>
      <c r="Q75" s="158"/>
      <c r="R75" s="158"/>
    </row>
    <row r="76" spans="1:19" ht="15.75">
      <c r="A76" s="76">
        <v>6</v>
      </c>
      <c r="B76" s="221" t="e">
        <f>'53-CK NSNN'!#REF!</f>
        <v>#REF!</v>
      </c>
      <c r="C76" s="158">
        <f t="shared" si="6"/>
        <v>0</v>
      </c>
      <c r="D76" s="158"/>
      <c r="E76" s="158"/>
      <c r="F76" s="158"/>
      <c r="G76" s="158"/>
      <c r="H76" s="158"/>
      <c r="I76" s="158"/>
      <c r="J76" s="158"/>
      <c r="K76" s="158"/>
      <c r="L76" s="158"/>
      <c r="M76" s="158"/>
      <c r="N76" s="158"/>
      <c r="O76" s="158"/>
      <c r="P76" s="158"/>
      <c r="Q76" s="158"/>
      <c r="R76" s="158"/>
    </row>
    <row r="77" spans="1:19" ht="15.75">
      <c r="A77" s="76">
        <v>7</v>
      </c>
      <c r="B77" s="221" t="e">
        <f>'53-CK NSNN'!#REF!</f>
        <v>#REF!</v>
      </c>
      <c r="C77" s="158">
        <f t="shared" si="6"/>
        <v>0</v>
      </c>
      <c r="D77" s="158"/>
      <c r="E77" s="158"/>
      <c r="F77" s="158"/>
      <c r="G77" s="158"/>
      <c r="H77" s="158"/>
      <c r="I77" s="158"/>
      <c r="J77" s="158"/>
      <c r="K77" s="158"/>
      <c r="L77" s="158"/>
      <c r="M77" s="158"/>
      <c r="N77" s="158"/>
      <c r="O77" s="158"/>
      <c r="P77" s="158"/>
      <c r="Q77" s="158"/>
      <c r="R77" s="158"/>
    </row>
    <row r="78" spans="1:19" ht="15.75">
      <c r="A78" s="76">
        <v>8</v>
      </c>
      <c r="B78" s="221" t="e">
        <f>'53-CK NSNN'!#REF!</f>
        <v>#REF!</v>
      </c>
      <c r="C78" s="158">
        <f t="shared" si="6"/>
        <v>0</v>
      </c>
      <c r="D78" s="158"/>
      <c r="E78" s="158"/>
      <c r="F78" s="158"/>
      <c r="G78" s="158"/>
      <c r="H78" s="158"/>
      <c r="I78" s="158"/>
      <c r="J78" s="158"/>
      <c r="K78" s="158"/>
      <c r="L78" s="158"/>
      <c r="M78" s="158"/>
      <c r="N78" s="158"/>
      <c r="O78" s="158"/>
      <c r="P78" s="158"/>
      <c r="Q78" s="158"/>
      <c r="R78" s="158"/>
    </row>
    <row r="79" spans="1:19" ht="15.75">
      <c r="A79" s="76">
        <v>9</v>
      </c>
      <c r="B79" s="221" t="e">
        <f>'53-CK NSNN'!#REF!</f>
        <v>#REF!</v>
      </c>
      <c r="C79" s="158">
        <f t="shared" si="6"/>
        <v>0</v>
      </c>
      <c r="D79" s="158"/>
      <c r="E79" s="158"/>
      <c r="F79" s="158"/>
      <c r="G79" s="158"/>
      <c r="H79" s="158"/>
      <c r="I79" s="158"/>
      <c r="J79" s="158"/>
      <c r="K79" s="158"/>
      <c r="L79" s="158"/>
      <c r="M79" s="158"/>
      <c r="N79" s="158"/>
      <c r="O79" s="158"/>
      <c r="P79" s="158"/>
      <c r="Q79" s="158"/>
      <c r="R79" s="158"/>
    </row>
    <row r="80" spans="1:19" ht="15.75">
      <c r="A80" s="76">
        <v>10</v>
      </c>
      <c r="B80" s="221" t="e">
        <f>'53-CK NSNN'!#REF!</f>
        <v>#REF!</v>
      </c>
      <c r="C80" s="158">
        <f t="shared" si="6"/>
        <v>0</v>
      </c>
      <c r="D80" s="158"/>
      <c r="E80" s="158"/>
      <c r="F80" s="158"/>
      <c r="G80" s="158"/>
      <c r="H80" s="158"/>
      <c r="I80" s="158"/>
      <c r="J80" s="158"/>
      <c r="K80" s="158"/>
      <c r="L80" s="158"/>
      <c r="M80" s="158"/>
      <c r="N80" s="158"/>
      <c r="O80" s="158"/>
      <c r="P80" s="158"/>
      <c r="Q80" s="158"/>
      <c r="R80" s="158"/>
    </row>
    <row r="81" spans="1:19" ht="15.75">
      <c r="A81" s="76">
        <v>11</v>
      </c>
      <c r="B81" s="221" t="e">
        <f>'53-CK NSNN'!#REF!</f>
        <v>#REF!</v>
      </c>
      <c r="C81" s="158">
        <f t="shared" si="6"/>
        <v>0</v>
      </c>
      <c r="D81" s="158"/>
      <c r="E81" s="158"/>
      <c r="F81" s="158"/>
      <c r="G81" s="158"/>
      <c r="H81" s="158"/>
      <c r="I81" s="158"/>
      <c r="J81" s="158"/>
      <c r="K81" s="158"/>
      <c r="L81" s="158"/>
      <c r="M81" s="158"/>
      <c r="N81" s="158"/>
      <c r="O81" s="158"/>
      <c r="P81" s="158"/>
      <c r="Q81" s="158"/>
      <c r="R81" s="158"/>
    </row>
    <row r="82" spans="1:19" ht="15.75">
      <c r="A82" s="76">
        <v>12</v>
      </c>
      <c r="B82" s="221" t="e">
        <f>'53-CK NSNN'!#REF!</f>
        <v>#REF!</v>
      </c>
      <c r="C82" s="158">
        <f t="shared" si="6"/>
        <v>0</v>
      </c>
      <c r="D82" s="158"/>
      <c r="E82" s="158"/>
      <c r="F82" s="158"/>
      <c r="G82" s="158"/>
      <c r="H82" s="158"/>
      <c r="I82" s="158"/>
      <c r="J82" s="158"/>
      <c r="K82" s="158"/>
      <c r="L82" s="158"/>
      <c r="M82" s="158"/>
      <c r="N82" s="158"/>
      <c r="O82" s="158"/>
      <c r="P82" s="158"/>
      <c r="Q82" s="158"/>
      <c r="R82" s="158"/>
    </row>
    <row r="83" spans="1:19" ht="15.75">
      <c r="A83" s="76">
        <v>13</v>
      </c>
      <c r="B83" s="221" t="e">
        <f>'53-CK NSNN'!#REF!</f>
        <v>#REF!</v>
      </c>
      <c r="C83" s="158">
        <f t="shared" si="6"/>
        <v>0</v>
      </c>
      <c r="D83" s="158"/>
      <c r="E83" s="158"/>
      <c r="F83" s="158"/>
      <c r="G83" s="158"/>
      <c r="H83" s="158"/>
      <c r="I83" s="158"/>
      <c r="J83" s="158"/>
      <c r="K83" s="158"/>
      <c r="L83" s="158"/>
      <c r="M83" s="158"/>
      <c r="N83" s="158"/>
      <c r="O83" s="158"/>
      <c r="P83" s="158"/>
      <c r="Q83" s="158"/>
      <c r="R83" s="158"/>
    </row>
    <row r="84" spans="1:19" ht="15.75">
      <c r="A84" s="76">
        <v>14</v>
      </c>
      <c r="B84" s="221" t="e">
        <f>'53-CK NSNN'!#REF!</f>
        <v>#REF!</v>
      </c>
      <c r="C84" s="158">
        <f t="shared" si="6"/>
        <v>0</v>
      </c>
      <c r="D84" s="158"/>
      <c r="E84" s="158"/>
      <c r="F84" s="158"/>
      <c r="G84" s="158"/>
      <c r="H84" s="158"/>
      <c r="I84" s="158"/>
      <c r="J84" s="158"/>
      <c r="K84" s="158"/>
      <c r="L84" s="158"/>
      <c r="M84" s="158"/>
      <c r="N84" s="158"/>
      <c r="O84" s="158"/>
      <c r="P84" s="158"/>
      <c r="Q84" s="158"/>
      <c r="R84" s="158"/>
    </row>
    <row r="85" spans="1:19" ht="15.75">
      <c r="A85" s="76">
        <v>15</v>
      </c>
      <c r="B85" s="221" t="e">
        <f>'53-CK NSNN'!#REF!</f>
        <v>#REF!</v>
      </c>
      <c r="C85" s="158">
        <f t="shared" si="6"/>
        <v>0</v>
      </c>
      <c r="D85" s="158"/>
      <c r="E85" s="158"/>
      <c r="F85" s="158"/>
      <c r="G85" s="158"/>
      <c r="H85" s="158"/>
      <c r="I85" s="158"/>
      <c r="J85" s="158"/>
      <c r="K85" s="158"/>
      <c r="L85" s="158"/>
      <c r="M85" s="158"/>
      <c r="N85" s="158"/>
      <c r="O85" s="158"/>
      <c r="P85" s="158"/>
      <c r="Q85" s="158"/>
      <c r="R85" s="158"/>
    </row>
    <row r="86" spans="1:19" ht="15.75">
      <c r="A86" s="76">
        <v>16</v>
      </c>
      <c r="B86" s="221" t="e">
        <f>'53-CK NSNN'!#REF!</f>
        <v>#REF!</v>
      </c>
      <c r="C86" s="158">
        <f t="shared" si="6"/>
        <v>0</v>
      </c>
      <c r="D86" s="158"/>
      <c r="E86" s="158"/>
      <c r="F86" s="158"/>
      <c r="G86" s="158"/>
      <c r="H86" s="158"/>
      <c r="I86" s="158"/>
      <c r="J86" s="158"/>
      <c r="K86" s="158"/>
      <c r="L86" s="158"/>
      <c r="M86" s="158"/>
      <c r="N86" s="158"/>
      <c r="O86" s="158"/>
      <c r="P86" s="158"/>
      <c r="Q86" s="158"/>
      <c r="R86" s="158"/>
    </row>
    <row r="87" spans="1:19" ht="15.75">
      <c r="A87" s="76">
        <v>17</v>
      </c>
      <c r="B87" s="221" t="e">
        <f>'53-CK NSNN'!#REF!</f>
        <v>#REF!</v>
      </c>
      <c r="C87" s="158">
        <f t="shared" si="6"/>
        <v>0</v>
      </c>
      <c r="D87" s="158"/>
      <c r="E87" s="158"/>
      <c r="F87" s="158"/>
      <c r="G87" s="158"/>
      <c r="H87" s="158"/>
      <c r="I87" s="158"/>
      <c r="J87" s="158"/>
      <c r="K87" s="158"/>
      <c r="L87" s="158"/>
      <c r="M87" s="158"/>
      <c r="N87" s="158"/>
      <c r="O87" s="158"/>
      <c r="P87" s="158"/>
      <c r="Q87" s="158"/>
      <c r="R87" s="158"/>
    </row>
    <row r="88" spans="1:19" ht="15.75">
      <c r="A88" s="76">
        <v>18</v>
      </c>
      <c r="B88" s="221" t="e">
        <f>'53-CK NSNN'!#REF!</f>
        <v>#REF!</v>
      </c>
      <c r="C88" s="158">
        <f t="shared" si="6"/>
        <v>0</v>
      </c>
      <c r="D88" s="158"/>
      <c r="E88" s="158"/>
      <c r="F88" s="158"/>
      <c r="G88" s="158"/>
      <c r="H88" s="158"/>
      <c r="I88" s="158"/>
      <c r="J88" s="158"/>
      <c r="K88" s="158"/>
      <c r="L88" s="158"/>
      <c r="M88" s="158"/>
      <c r="N88" s="158"/>
      <c r="O88" s="158"/>
      <c r="P88" s="158"/>
      <c r="Q88" s="158"/>
      <c r="R88" s="158"/>
    </row>
    <row r="89" spans="1:19" ht="15.75">
      <c r="A89" s="97">
        <v>19</v>
      </c>
      <c r="B89" s="221" t="e">
        <f>'53-CK NSNN'!#REF!</f>
        <v>#REF!</v>
      </c>
      <c r="C89" s="158">
        <f t="shared" si="6"/>
        <v>0</v>
      </c>
      <c r="D89" s="158"/>
      <c r="E89" s="158"/>
      <c r="F89" s="158"/>
      <c r="G89" s="158"/>
      <c r="H89" s="158"/>
      <c r="I89" s="158"/>
      <c r="J89" s="158"/>
      <c r="K89" s="158"/>
      <c r="L89" s="158"/>
      <c r="M89" s="158"/>
      <c r="N89" s="158"/>
      <c r="O89" s="158"/>
      <c r="P89" s="158"/>
      <c r="Q89" s="158"/>
      <c r="R89" s="158"/>
    </row>
    <row r="90" spans="1:19" ht="15.75">
      <c r="A90" s="97"/>
      <c r="B90" s="467" t="s">
        <v>1294</v>
      </c>
      <c r="C90" s="158">
        <f t="shared" si="6"/>
        <v>15735</v>
      </c>
      <c r="D90" s="158">
        <f t="shared" ref="D90:R90" si="10">SUM(D91:D92)</f>
        <v>0</v>
      </c>
      <c r="E90" s="158">
        <f t="shared" si="10"/>
        <v>0</v>
      </c>
      <c r="F90" s="158">
        <f t="shared" si="10"/>
        <v>0</v>
      </c>
      <c r="G90" s="158">
        <f t="shared" si="10"/>
        <v>0</v>
      </c>
      <c r="H90" s="158">
        <f t="shared" si="10"/>
        <v>0</v>
      </c>
      <c r="I90" s="158">
        <f t="shared" si="10"/>
        <v>0</v>
      </c>
      <c r="J90" s="158">
        <f t="shared" si="10"/>
        <v>0</v>
      </c>
      <c r="K90" s="158">
        <f t="shared" si="10"/>
        <v>0</v>
      </c>
      <c r="L90" s="158">
        <f t="shared" si="10"/>
        <v>0</v>
      </c>
      <c r="M90" s="158">
        <f t="shared" si="10"/>
        <v>0</v>
      </c>
      <c r="N90" s="158">
        <f t="shared" si="10"/>
        <v>0</v>
      </c>
      <c r="O90" s="158">
        <f t="shared" si="10"/>
        <v>0</v>
      </c>
      <c r="P90" s="158">
        <f t="shared" si="10"/>
        <v>15735</v>
      </c>
      <c r="Q90" s="158">
        <f t="shared" si="10"/>
        <v>0</v>
      </c>
      <c r="R90" s="158">
        <f t="shared" si="10"/>
        <v>0</v>
      </c>
      <c r="S90" t="s">
        <v>1352</v>
      </c>
    </row>
    <row r="91" spans="1:19" ht="15.75">
      <c r="A91" s="97"/>
      <c r="B91" s="467" t="s">
        <v>1331</v>
      </c>
      <c r="C91" s="158">
        <f t="shared" si="6"/>
        <v>10689</v>
      </c>
      <c r="D91" s="160"/>
      <c r="E91" s="160"/>
      <c r="F91" s="160"/>
      <c r="G91" s="160"/>
      <c r="H91" s="160"/>
      <c r="I91" s="160"/>
      <c r="J91" s="160"/>
      <c r="K91" s="160"/>
      <c r="L91" s="160"/>
      <c r="M91" s="160"/>
      <c r="N91" s="160"/>
      <c r="O91" s="160"/>
      <c r="P91" s="160">
        <v>10689</v>
      </c>
      <c r="Q91" s="160"/>
      <c r="R91" s="160"/>
      <c r="S91" t="s">
        <v>1352</v>
      </c>
    </row>
    <row r="92" spans="1:19" ht="15.75">
      <c r="A92" s="81"/>
      <c r="B92" s="469" t="s">
        <v>1332</v>
      </c>
      <c r="C92" s="158">
        <f t="shared" si="6"/>
        <v>5046</v>
      </c>
      <c r="D92" s="160"/>
      <c r="E92" s="160"/>
      <c r="F92" s="160"/>
      <c r="G92" s="160"/>
      <c r="H92" s="160"/>
      <c r="I92" s="160"/>
      <c r="J92" s="160"/>
      <c r="K92" s="160"/>
      <c r="L92" s="160"/>
      <c r="M92" s="160"/>
      <c r="N92" s="160"/>
      <c r="O92" s="160"/>
      <c r="P92" s="160">
        <v>5046</v>
      </c>
      <c r="Q92" s="160"/>
      <c r="R92" s="160"/>
      <c r="S92" t="s">
        <v>1352</v>
      </c>
    </row>
    <row r="93" spans="1:19" ht="15.75">
      <c r="A93" s="472"/>
      <c r="B93" s="439"/>
      <c r="C93" s="158"/>
      <c r="D93" s="158"/>
      <c r="E93" s="158"/>
      <c r="F93" s="158"/>
      <c r="G93" s="158"/>
      <c r="H93" s="158"/>
      <c r="I93" s="158"/>
      <c r="J93" s="158"/>
      <c r="K93" s="158"/>
      <c r="L93" s="158"/>
      <c r="M93" s="158"/>
      <c r="N93" s="158"/>
      <c r="O93" s="158"/>
      <c r="P93" s="158"/>
      <c r="Q93" s="158"/>
      <c r="R93" s="158"/>
    </row>
    <row r="94" spans="1:19" s="101" customFormat="1" ht="31.5">
      <c r="A94" s="189"/>
      <c r="B94" s="465" t="s">
        <v>1330</v>
      </c>
      <c r="C94" s="167">
        <f t="shared" ref="C94:R94" si="11">C95+C135+C146+C150+C151</f>
        <v>133190</v>
      </c>
      <c r="D94" s="167">
        <f t="shared" si="11"/>
        <v>1000</v>
      </c>
      <c r="E94" s="167">
        <f t="shared" si="11"/>
        <v>0</v>
      </c>
      <c r="F94" s="167">
        <f t="shared" si="11"/>
        <v>0</v>
      </c>
      <c r="G94" s="167">
        <f t="shared" si="11"/>
        <v>0</v>
      </c>
      <c r="H94" s="167">
        <f t="shared" si="11"/>
        <v>0</v>
      </c>
      <c r="I94" s="167">
        <f t="shared" si="11"/>
        <v>0</v>
      </c>
      <c r="J94" s="167">
        <f t="shared" si="11"/>
        <v>0</v>
      </c>
      <c r="K94" s="167">
        <f t="shared" si="11"/>
        <v>0</v>
      </c>
      <c r="L94" s="167">
        <f t="shared" si="11"/>
        <v>0</v>
      </c>
      <c r="M94" s="167">
        <f t="shared" si="11"/>
        <v>110928</v>
      </c>
      <c r="N94" s="167">
        <f t="shared" si="11"/>
        <v>47510</v>
      </c>
      <c r="O94" s="167">
        <f t="shared" si="11"/>
        <v>63418</v>
      </c>
      <c r="P94" s="167">
        <f t="shared" si="11"/>
        <v>0</v>
      </c>
      <c r="Q94" s="167">
        <f t="shared" si="11"/>
        <v>0</v>
      </c>
      <c r="R94" s="167">
        <f t="shared" si="11"/>
        <v>21262</v>
      </c>
      <c r="S94" s="101" t="s">
        <v>1352</v>
      </c>
    </row>
    <row r="95" spans="1:19" s="101" customFormat="1" ht="15.75">
      <c r="A95" s="74" t="s">
        <v>83</v>
      </c>
      <c r="B95" s="222" t="e">
        <f t="shared" ref="B95:B109" si="12">B10</f>
        <v>#REF!</v>
      </c>
      <c r="C95" s="168">
        <f>C96+C97+C98+C99+C100+C101+C102+C103+C104+C105+C106+C107+C108+C109+C110+C111+C112+C113+C114+C115+C116+C117+C118</f>
        <v>133190</v>
      </c>
      <c r="D95" s="168">
        <f t="shared" ref="D95:R95" si="13">D96+D97+D98+D99+D100+D101+D102+D103+D104+D105+D106+D107+D108+D109+D110+D111+D112+D113+D114+D115+D116+D117+D118</f>
        <v>1000</v>
      </c>
      <c r="E95" s="168">
        <f t="shared" si="13"/>
        <v>0</v>
      </c>
      <c r="F95" s="168">
        <f t="shared" si="13"/>
        <v>0</v>
      </c>
      <c r="G95" s="168">
        <f t="shared" si="13"/>
        <v>0</v>
      </c>
      <c r="H95" s="168">
        <f t="shared" si="13"/>
        <v>0</v>
      </c>
      <c r="I95" s="168">
        <f t="shared" si="13"/>
        <v>0</v>
      </c>
      <c r="J95" s="168">
        <f t="shared" si="13"/>
        <v>0</v>
      </c>
      <c r="K95" s="168">
        <f t="shared" si="13"/>
        <v>0</v>
      </c>
      <c r="L95" s="168">
        <f t="shared" si="13"/>
        <v>0</v>
      </c>
      <c r="M95" s="168">
        <f t="shared" si="13"/>
        <v>110928</v>
      </c>
      <c r="N95" s="168">
        <f t="shared" si="13"/>
        <v>47510</v>
      </c>
      <c r="O95" s="168">
        <f t="shared" si="13"/>
        <v>63418</v>
      </c>
      <c r="P95" s="168">
        <f t="shared" si="13"/>
        <v>0</v>
      </c>
      <c r="Q95" s="168">
        <f t="shared" si="13"/>
        <v>0</v>
      </c>
      <c r="R95" s="168">
        <f t="shared" si="13"/>
        <v>21262</v>
      </c>
      <c r="S95" s="101" t="s">
        <v>1352</v>
      </c>
    </row>
    <row r="96" spans="1:19" ht="15.75">
      <c r="A96" s="76">
        <v>1</v>
      </c>
      <c r="B96" s="221" t="e">
        <f t="shared" si="12"/>
        <v>#REF!</v>
      </c>
      <c r="C96" s="158">
        <f>D96+E96+F96+G96+H96+I96+J96+K96+L96+M96+P96+Q96+R96</f>
        <v>0</v>
      </c>
      <c r="D96" s="158"/>
      <c r="E96" s="158"/>
      <c r="F96" s="158"/>
      <c r="G96" s="158"/>
      <c r="H96" s="158"/>
      <c r="I96" s="158"/>
      <c r="J96" s="158"/>
      <c r="K96" s="158"/>
      <c r="L96" s="158"/>
      <c r="M96" s="158"/>
      <c r="N96" s="158"/>
      <c r="O96" s="158"/>
      <c r="P96" s="158"/>
      <c r="Q96" s="158"/>
      <c r="R96" s="158"/>
    </row>
    <row r="97" spans="1:19" ht="15.75">
      <c r="A97" s="76">
        <v>2</v>
      </c>
      <c r="B97" s="221" t="e">
        <f t="shared" si="12"/>
        <v>#REF!</v>
      </c>
      <c r="C97" s="158">
        <f>+D97+E97+F97+G97+H97+I97+J97+K97+L97+M97++P97+Q97+R97</f>
        <v>0</v>
      </c>
      <c r="D97" s="158"/>
      <c r="E97" s="158"/>
      <c r="F97" s="158"/>
      <c r="G97" s="158"/>
      <c r="H97" s="158"/>
      <c r="I97" s="158"/>
      <c r="J97" s="158"/>
      <c r="K97" s="158"/>
      <c r="L97" s="158"/>
      <c r="M97" s="158"/>
      <c r="N97" s="158"/>
      <c r="O97" s="158"/>
      <c r="P97" s="158"/>
      <c r="Q97" s="158"/>
      <c r="R97" s="158"/>
    </row>
    <row r="98" spans="1:19" ht="15.75">
      <c r="A98" s="76">
        <v>1</v>
      </c>
      <c r="B98" s="221" t="str">
        <f t="shared" si="12"/>
        <v>Văn phòng UBND tỉnh</v>
      </c>
      <c r="C98" s="158">
        <f t="shared" ref="C98:C134" si="14">+D98+E98+F98+G98+H98+I98+J98+K98+L98+M98++P98+Q98+R98</f>
        <v>24528</v>
      </c>
      <c r="D98" s="158"/>
      <c r="E98" s="158"/>
      <c r="F98" s="158"/>
      <c r="G98" s="158"/>
      <c r="H98" s="158"/>
      <c r="I98" s="158"/>
      <c r="J98" s="158"/>
      <c r="K98" s="158"/>
      <c r="L98" s="158"/>
      <c r="M98" s="158">
        <v>24528</v>
      </c>
      <c r="N98" s="158"/>
      <c r="O98" s="158">
        <f>M98</f>
        <v>24528</v>
      </c>
      <c r="P98" s="158"/>
      <c r="Q98" s="158"/>
      <c r="R98" s="158"/>
      <c r="S98" t="s">
        <v>1352</v>
      </c>
    </row>
    <row r="99" spans="1:19" ht="15.75">
      <c r="A99" s="76">
        <v>4</v>
      </c>
      <c r="B99" s="221" t="e">
        <f t="shared" si="12"/>
        <v>#REF!</v>
      </c>
      <c r="C99" s="158">
        <f t="shared" si="14"/>
        <v>0</v>
      </c>
      <c r="D99" s="158"/>
      <c r="E99" s="158"/>
      <c r="F99" s="158"/>
      <c r="G99" s="158"/>
      <c r="H99" s="158"/>
      <c r="I99" s="158"/>
      <c r="J99" s="158"/>
      <c r="K99" s="158"/>
      <c r="L99" s="158"/>
      <c r="M99" s="158"/>
      <c r="N99" s="158"/>
      <c r="O99" s="158"/>
      <c r="P99" s="158"/>
      <c r="Q99" s="158"/>
      <c r="R99" s="158"/>
    </row>
    <row r="100" spans="1:19" ht="15.75">
      <c r="A100" s="76">
        <v>5</v>
      </c>
      <c r="B100" s="221" t="str">
        <f t="shared" si="12"/>
        <v>Sở Công thương</v>
      </c>
      <c r="C100" s="158">
        <f t="shared" si="14"/>
        <v>0</v>
      </c>
      <c r="D100" s="158"/>
      <c r="E100" s="158"/>
      <c r="F100" s="158"/>
      <c r="G100" s="158"/>
      <c r="H100" s="158"/>
      <c r="I100" s="158"/>
      <c r="J100" s="158"/>
      <c r="K100" s="158"/>
      <c r="L100" s="158"/>
      <c r="M100" s="158"/>
      <c r="N100" s="158"/>
      <c r="O100" s="158"/>
      <c r="P100" s="158"/>
      <c r="Q100" s="158"/>
      <c r="R100" s="158"/>
    </row>
    <row r="101" spans="1:19" ht="15.75">
      <c r="A101" s="76">
        <v>6</v>
      </c>
      <c r="B101" s="221" t="str">
        <f t="shared" si="12"/>
        <v>Sở Khoa học và Công nghệ</v>
      </c>
      <c r="C101" s="158">
        <f t="shared" si="14"/>
        <v>0</v>
      </c>
      <c r="D101" s="158"/>
      <c r="E101" s="158"/>
      <c r="F101" s="158"/>
      <c r="G101" s="158"/>
      <c r="H101" s="158"/>
      <c r="I101" s="158"/>
      <c r="J101" s="158"/>
      <c r="K101" s="158"/>
      <c r="L101" s="158"/>
      <c r="M101" s="158"/>
      <c r="N101" s="158"/>
      <c r="O101" s="158"/>
      <c r="P101" s="158"/>
      <c r="Q101" s="158"/>
      <c r="R101" s="158"/>
    </row>
    <row r="102" spans="1:19" ht="15.75">
      <c r="A102" s="76">
        <v>7</v>
      </c>
      <c r="B102" s="221" t="str">
        <f t="shared" si="12"/>
        <v>Sở Xây dựng</v>
      </c>
      <c r="C102" s="158">
        <f t="shared" si="14"/>
        <v>0</v>
      </c>
      <c r="D102" s="158"/>
      <c r="E102" s="158"/>
      <c r="F102" s="158"/>
      <c r="G102" s="158"/>
      <c r="H102" s="158"/>
      <c r="I102" s="158"/>
      <c r="J102" s="158"/>
      <c r="K102" s="158"/>
      <c r="L102" s="158"/>
      <c r="M102" s="158"/>
      <c r="N102" s="158"/>
      <c r="O102" s="158"/>
      <c r="P102" s="158"/>
      <c r="Q102" s="158"/>
      <c r="R102" s="158"/>
    </row>
    <row r="103" spans="1:19" ht="15.75">
      <c r="A103" s="76">
        <v>8</v>
      </c>
      <c r="B103" s="221" t="e">
        <f t="shared" si="12"/>
        <v>#REF!</v>
      </c>
      <c r="C103" s="158">
        <f t="shared" si="14"/>
        <v>0</v>
      </c>
      <c r="D103" s="158"/>
      <c r="E103" s="158"/>
      <c r="F103" s="158"/>
      <c r="G103" s="158"/>
      <c r="H103" s="158"/>
      <c r="I103" s="158"/>
      <c r="J103" s="158"/>
      <c r="K103" s="158"/>
      <c r="L103" s="158"/>
      <c r="M103" s="158"/>
      <c r="N103" s="158"/>
      <c r="O103" s="158"/>
      <c r="P103" s="158"/>
      <c r="Q103" s="158"/>
      <c r="R103" s="158"/>
    </row>
    <row r="104" spans="1:19" ht="15.75">
      <c r="A104" s="76">
        <v>9</v>
      </c>
      <c r="B104" s="221" t="e">
        <f t="shared" si="12"/>
        <v>#REF!</v>
      </c>
      <c r="C104" s="158">
        <f t="shared" si="14"/>
        <v>0</v>
      </c>
      <c r="D104" s="158"/>
      <c r="E104" s="158"/>
      <c r="F104" s="158"/>
      <c r="G104" s="158"/>
      <c r="H104" s="158"/>
      <c r="I104" s="158"/>
      <c r="J104" s="158"/>
      <c r="K104" s="158"/>
      <c r="L104" s="158"/>
      <c r="M104" s="158"/>
      <c r="N104" s="158"/>
      <c r="O104" s="158"/>
      <c r="P104" s="158"/>
      <c r="Q104" s="158"/>
      <c r="R104" s="158"/>
    </row>
    <row r="105" spans="1:19" ht="15.75">
      <c r="A105" s="76">
        <v>10</v>
      </c>
      <c r="B105" s="221" t="str">
        <f t="shared" si="12"/>
        <v>Ban An toàn giao thông</v>
      </c>
      <c r="C105" s="158">
        <f t="shared" si="14"/>
        <v>0</v>
      </c>
      <c r="D105" s="158"/>
      <c r="E105" s="158"/>
      <c r="F105" s="158"/>
      <c r="G105" s="158"/>
      <c r="H105" s="158"/>
      <c r="I105" s="158"/>
      <c r="J105" s="158"/>
      <c r="K105" s="158"/>
      <c r="L105" s="158"/>
      <c r="M105" s="158"/>
      <c r="N105" s="158"/>
      <c r="O105" s="158"/>
      <c r="P105" s="158"/>
      <c r="Q105" s="158"/>
      <c r="R105" s="158"/>
    </row>
    <row r="106" spans="1:19" ht="15.75">
      <c r="A106" s="76">
        <v>2</v>
      </c>
      <c r="B106" s="221" t="str">
        <f t="shared" si="12"/>
        <v>Sở Giáo dục và Đào tạo</v>
      </c>
      <c r="C106" s="158">
        <f t="shared" si="14"/>
        <v>35000</v>
      </c>
      <c r="D106" s="158"/>
      <c r="E106" s="158"/>
      <c r="F106" s="158"/>
      <c r="G106" s="158"/>
      <c r="H106" s="158"/>
      <c r="I106" s="158"/>
      <c r="J106" s="158"/>
      <c r="K106" s="158"/>
      <c r="L106" s="158"/>
      <c r="M106" s="158">
        <v>35000</v>
      </c>
      <c r="N106" s="158">
        <f>+M106</f>
        <v>35000</v>
      </c>
      <c r="O106" s="158"/>
      <c r="P106" s="158"/>
      <c r="Q106" s="158"/>
      <c r="R106" s="158"/>
      <c r="S106" t="s">
        <v>1352</v>
      </c>
    </row>
    <row r="107" spans="1:19" ht="15.75">
      <c r="A107" s="76">
        <v>12</v>
      </c>
      <c r="B107" s="221" t="e">
        <f t="shared" si="12"/>
        <v>#REF!</v>
      </c>
      <c r="C107" s="158">
        <f t="shared" si="14"/>
        <v>0</v>
      </c>
      <c r="D107" s="158"/>
      <c r="E107" s="158"/>
      <c r="F107" s="158"/>
      <c r="G107" s="158"/>
      <c r="H107" s="158"/>
      <c r="I107" s="158"/>
      <c r="J107" s="158"/>
      <c r="K107" s="158"/>
      <c r="L107" s="158"/>
      <c r="M107" s="158"/>
      <c r="N107" s="158"/>
      <c r="O107" s="158"/>
      <c r="P107" s="158"/>
      <c r="Q107" s="158"/>
      <c r="R107" s="158"/>
    </row>
    <row r="108" spans="1:19" ht="15.75">
      <c r="A108" s="76">
        <v>13</v>
      </c>
      <c r="B108" s="221" t="str">
        <f t="shared" si="12"/>
        <v>Sở Lao động TB và Xã hội</v>
      </c>
      <c r="C108" s="158">
        <f t="shared" si="14"/>
        <v>0</v>
      </c>
      <c r="D108" s="158"/>
      <c r="E108" s="158"/>
      <c r="F108" s="158"/>
      <c r="G108" s="158"/>
      <c r="H108" s="158"/>
      <c r="I108" s="158"/>
      <c r="J108" s="158"/>
      <c r="K108" s="158"/>
      <c r="L108" s="158"/>
      <c r="M108" s="158"/>
      <c r="N108" s="158"/>
      <c r="O108" s="158"/>
      <c r="P108" s="158"/>
      <c r="Q108" s="158"/>
      <c r="R108" s="158"/>
    </row>
    <row r="109" spans="1:19" ht="15.75">
      <c r="A109" s="76">
        <v>14</v>
      </c>
      <c r="B109" s="221" t="e">
        <f t="shared" si="12"/>
        <v>#REF!</v>
      </c>
      <c r="C109" s="158">
        <f t="shared" si="14"/>
        <v>0</v>
      </c>
      <c r="D109" s="158"/>
      <c r="E109" s="158"/>
      <c r="F109" s="158"/>
      <c r="G109" s="158"/>
      <c r="H109" s="158"/>
      <c r="I109" s="158"/>
      <c r="J109" s="158"/>
      <c r="K109" s="158"/>
      <c r="L109" s="158"/>
      <c r="M109" s="158"/>
      <c r="N109" s="158"/>
      <c r="O109" s="158"/>
      <c r="P109" s="158"/>
      <c r="Q109" s="158"/>
      <c r="R109" s="158"/>
    </row>
    <row r="110" spans="1:19" ht="15.75">
      <c r="A110" s="76">
        <v>15</v>
      </c>
      <c r="B110" s="221" t="e">
        <f>B27</f>
        <v>#REF!</v>
      </c>
      <c r="C110" s="158">
        <f t="shared" si="14"/>
        <v>0</v>
      </c>
      <c r="D110" s="158"/>
      <c r="E110" s="158"/>
      <c r="F110" s="158"/>
      <c r="G110" s="158"/>
      <c r="H110" s="158"/>
      <c r="I110" s="158"/>
      <c r="J110" s="158"/>
      <c r="K110" s="158"/>
      <c r="L110" s="158"/>
      <c r="M110" s="158"/>
      <c r="N110" s="158"/>
      <c r="O110" s="158"/>
      <c r="P110" s="158"/>
      <c r="Q110" s="158"/>
      <c r="R110" s="158"/>
    </row>
    <row r="111" spans="1:19" ht="15.75">
      <c r="A111" s="76">
        <v>16</v>
      </c>
      <c r="B111" s="221" t="e">
        <f t="shared" ref="B111:B142" si="15">B30</f>
        <v>#REF!</v>
      </c>
      <c r="C111" s="158">
        <f t="shared" si="14"/>
        <v>0</v>
      </c>
      <c r="D111" s="158"/>
      <c r="E111" s="158"/>
      <c r="F111" s="158"/>
      <c r="G111" s="158"/>
      <c r="H111" s="158"/>
      <c r="I111" s="158"/>
      <c r="J111" s="158"/>
      <c r="K111" s="158"/>
      <c r="L111" s="158"/>
      <c r="M111" s="158"/>
      <c r="N111" s="158"/>
      <c r="O111" s="158"/>
      <c r="P111" s="158"/>
      <c r="Q111" s="158"/>
      <c r="R111" s="158"/>
    </row>
    <row r="112" spans="1:19" ht="15.75">
      <c r="A112" s="76">
        <v>17</v>
      </c>
      <c r="B112" s="221" t="e">
        <f t="shared" si="15"/>
        <v>#REF!</v>
      </c>
      <c r="C112" s="158">
        <f t="shared" si="14"/>
        <v>0</v>
      </c>
      <c r="D112" s="158"/>
      <c r="E112" s="158"/>
      <c r="F112" s="158"/>
      <c r="G112" s="158"/>
      <c r="H112" s="158"/>
      <c r="I112" s="158"/>
      <c r="J112" s="158"/>
      <c r="K112" s="158"/>
      <c r="L112" s="158"/>
      <c r="M112" s="158"/>
      <c r="N112" s="158"/>
      <c r="O112" s="158"/>
      <c r="P112" s="158"/>
      <c r="Q112" s="158"/>
      <c r="R112" s="158"/>
    </row>
    <row r="113" spans="1:19" ht="15.75">
      <c r="A113" s="76">
        <v>18</v>
      </c>
      <c r="B113" s="221" t="e">
        <f t="shared" si="15"/>
        <v>#REF!</v>
      </c>
      <c r="C113" s="158">
        <f t="shared" si="14"/>
        <v>0</v>
      </c>
      <c r="D113" s="158"/>
      <c r="E113" s="158"/>
      <c r="F113" s="158"/>
      <c r="G113" s="158"/>
      <c r="H113" s="158"/>
      <c r="I113" s="158"/>
      <c r="J113" s="158"/>
      <c r="K113" s="158"/>
      <c r="L113" s="158"/>
      <c r="M113" s="158"/>
      <c r="N113" s="158"/>
      <c r="O113" s="158"/>
      <c r="P113" s="158"/>
      <c r="Q113" s="158"/>
      <c r="R113" s="158"/>
    </row>
    <row r="114" spans="1:19" ht="15.75">
      <c r="A114" s="76">
        <v>19</v>
      </c>
      <c r="B114" s="221" t="e">
        <f t="shared" si="15"/>
        <v>#REF!</v>
      </c>
      <c r="C114" s="158">
        <f t="shared" si="14"/>
        <v>0</v>
      </c>
      <c r="D114" s="158"/>
      <c r="E114" s="158"/>
      <c r="F114" s="158"/>
      <c r="G114" s="158"/>
      <c r="H114" s="158"/>
      <c r="I114" s="158"/>
      <c r="J114" s="158"/>
      <c r="K114" s="158"/>
      <c r="L114" s="158"/>
      <c r="M114" s="158"/>
      <c r="N114" s="158"/>
      <c r="O114" s="158"/>
      <c r="P114" s="158"/>
      <c r="Q114" s="158"/>
      <c r="R114" s="158"/>
    </row>
    <row r="115" spans="1:19" ht="15.75">
      <c r="A115" s="76">
        <v>20</v>
      </c>
      <c r="B115" s="221" t="e">
        <f t="shared" si="15"/>
        <v>#REF!</v>
      </c>
      <c r="C115" s="158">
        <f t="shared" si="14"/>
        <v>0</v>
      </c>
      <c r="D115" s="158"/>
      <c r="E115" s="158"/>
      <c r="F115" s="158"/>
      <c r="G115" s="158"/>
      <c r="H115" s="158"/>
      <c r="I115" s="158"/>
      <c r="J115" s="158"/>
      <c r="K115" s="158"/>
      <c r="L115" s="158"/>
      <c r="M115" s="158"/>
      <c r="N115" s="158"/>
      <c r="O115" s="158"/>
      <c r="P115" s="158"/>
      <c r="Q115" s="158"/>
      <c r="R115" s="158"/>
    </row>
    <row r="116" spans="1:19" ht="15.75">
      <c r="A116" s="76">
        <v>21</v>
      </c>
      <c r="B116" s="221" t="e">
        <f t="shared" si="15"/>
        <v>#REF!</v>
      </c>
      <c r="C116" s="158">
        <f t="shared" si="14"/>
        <v>0</v>
      </c>
      <c r="D116" s="158"/>
      <c r="E116" s="158"/>
      <c r="F116" s="158"/>
      <c r="G116" s="158"/>
      <c r="H116" s="158"/>
      <c r="I116" s="158"/>
      <c r="J116" s="158"/>
      <c r="K116" s="158"/>
      <c r="L116" s="158"/>
      <c r="M116" s="158"/>
      <c r="N116" s="158"/>
      <c r="O116" s="158"/>
      <c r="P116" s="158"/>
      <c r="Q116" s="158"/>
      <c r="R116" s="158"/>
    </row>
    <row r="117" spans="1:19" ht="15.75">
      <c r="A117" s="76">
        <v>22</v>
      </c>
      <c r="B117" s="221" t="e">
        <f t="shared" si="15"/>
        <v>#REF!</v>
      </c>
      <c r="C117" s="158">
        <f t="shared" si="14"/>
        <v>0</v>
      </c>
      <c r="D117" s="158"/>
      <c r="E117" s="158"/>
      <c r="F117" s="158"/>
      <c r="G117" s="158"/>
      <c r="H117" s="158"/>
      <c r="I117" s="158"/>
      <c r="J117" s="158"/>
      <c r="K117" s="158"/>
      <c r="L117" s="158"/>
      <c r="M117" s="158"/>
      <c r="N117" s="158"/>
      <c r="O117" s="158"/>
      <c r="P117" s="158"/>
      <c r="Q117" s="158"/>
      <c r="R117" s="158"/>
    </row>
    <row r="118" spans="1:19" ht="15.75">
      <c r="A118" s="76">
        <v>3</v>
      </c>
      <c r="B118" s="221" t="e">
        <f t="shared" si="15"/>
        <v>#REF!</v>
      </c>
      <c r="C118" s="158">
        <f t="shared" si="14"/>
        <v>73662</v>
      </c>
      <c r="D118" s="158">
        <f>SUM(D119:D134)</f>
        <v>1000</v>
      </c>
      <c r="E118" s="158">
        <f t="shared" ref="E118:R118" si="16">SUM(E119:E134)</f>
        <v>0</v>
      </c>
      <c r="F118" s="158">
        <f t="shared" si="16"/>
        <v>0</v>
      </c>
      <c r="G118" s="158">
        <f t="shared" si="16"/>
        <v>0</v>
      </c>
      <c r="H118" s="158">
        <f t="shared" si="16"/>
        <v>0</v>
      </c>
      <c r="I118" s="158">
        <f t="shared" si="16"/>
        <v>0</v>
      </c>
      <c r="J118" s="158">
        <f t="shared" si="16"/>
        <v>0</v>
      </c>
      <c r="K118" s="158">
        <f t="shared" si="16"/>
        <v>0</v>
      </c>
      <c r="L118" s="158">
        <f t="shared" si="16"/>
        <v>0</v>
      </c>
      <c r="M118" s="158">
        <f t="shared" si="16"/>
        <v>51400</v>
      </c>
      <c r="N118" s="158">
        <f t="shared" si="16"/>
        <v>12510</v>
      </c>
      <c r="O118" s="158">
        <f t="shared" si="16"/>
        <v>38890</v>
      </c>
      <c r="P118" s="158">
        <f t="shared" si="16"/>
        <v>0</v>
      </c>
      <c r="Q118" s="158">
        <f t="shared" si="16"/>
        <v>0</v>
      </c>
      <c r="R118" s="158">
        <f t="shared" si="16"/>
        <v>21262</v>
      </c>
      <c r="S118" t="s">
        <v>1352</v>
      </c>
    </row>
    <row r="119" spans="1:19" ht="31.5">
      <c r="A119" s="76"/>
      <c r="B119" s="221" t="str">
        <f t="shared" si="15"/>
        <v xml:space="preserve"> - Ban quản lý đầu tư xây dựng các công trình dân dụng và công nghiệp tỉnh</v>
      </c>
      <c r="C119" s="158">
        <f t="shared" si="14"/>
        <v>0</v>
      </c>
      <c r="D119" s="158"/>
      <c r="E119" s="158"/>
      <c r="F119" s="158"/>
      <c r="G119" s="158"/>
      <c r="H119" s="158"/>
      <c r="I119" s="158"/>
      <c r="J119" s="158"/>
      <c r="K119" s="158"/>
      <c r="L119" s="158"/>
      <c r="M119" s="158"/>
      <c r="N119" s="158"/>
      <c r="O119" s="158"/>
      <c r="P119" s="158"/>
      <c r="Q119" s="158"/>
      <c r="R119" s="158"/>
    </row>
    <row r="120" spans="1:19" ht="15.75">
      <c r="A120" s="76"/>
      <c r="B120" s="221" t="str">
        <f t="shared" si="15"/>
        <v xml:space="preserve"> - UBND thành phố Tân An</v>
      </c>
      <c r="C120" s="158">
        <f t="shared" si="14"/>
        <v>0</v>
      </c>
      <c r="D120" s="158"/>
      <c r="E120" s="158"/>
      <c r="F120" s="158"/>
      <c r="G120" s="158"/>
      <c r="H120" s="158"/>
      <c r="I120" s="158"/>
      <c r="J120" s="158"/>
      <c r="K120" s="158"/>
      <c r="L120" s="158"/>
      <c r="M120" s="158"/>
      <c r="N120" s="158"/>
      <c r="O120" s="158"/>
      <c r="P120" s="158"/>
      <c r="Q120" s="158"/>
      <c r="R120" s="158"/>
    </row>
    <row r="121" spans="1:19" ht="15.75">
      <c r="A121" s="76"/>
      <c r="B121" s="221" t="str">
        <f t="shared" si="15"/>
        <v xml:space="preserve"> - UBND thị xã Kiến Tường</v>
      </c>
      <c r="C121" s="158">
        <f t="shared" si="14"/>
        <v>39400</v>
      </c>
      <c r="D121" s="158"/>
      <c r="E121" s="158"/>
      <c r="F121" s="158"/>
      <c r="G121" s="158"/>
      <c r="H121" s="158"/>
      <c r="I121" s="158"/>
      <c r="J121" s="158"/>
      <c r="K121" s="158"/>
      <c r="L121" s="158"/>
      <c r="M121" s="158">
        <v>39400</v>
      </c>
      <c r="N121" s="158">
        <v>1000</v>
      </c>
      <c r="O121" s="158">
        <v>38400</v>
      </c>
      <c r="P121" s="158"/>
      <c r="Q121" s="158"/>
      <c r="R121" s="158"/>
      <c r="S121" t="s">
        <v>1352</v>
      </c>
    </row>
    <row r="122" spans="1:19" ht="15.75">
      <c r="A122" s="76"/>
      <c r="B122" s="221" t="str">
        <f t="shared" si="15"/>
        <v xml:space="preserve"> - UBND huyện Tân Hưng</v>
      </c>
      <c r="C122" s="158">
        <f t="shared" si="14"/>
        <v>1000</v>
      </c>
      <c r="D122" s="158">
        <v>1000</v>
      </c>
      <c r="E122" s="158"/>
      <c r="F122" s="158"/>
      <c r="G122" s="158"/>
      <c r="H122" s="158"/>
      <c r="I122" s="158"/>
      <c r="J122" s="158"/>
      <c r="K122" s="158"/>
      <c r="L122" s="158"/>
      <c r="M122" s="158"/>
      <c r="N122" s="158"/>
      <c r="O122" s="158"/>
      <c r="P122" s="158"/>
      <c r="Q122" s="158"/>
      <c r="R122" s="158"/>
      <c r="S122" t="s">
        <v>1352</v>
      </c>
    </row>
    <row r="123" spans="1:19" ht="15.75">
      <c r="A123" s="76"/>
      <c r="B123" s="221" t="str">
        <f t="shared" si="15"/>
        <v xml:space="preserve"> - UBND huyện Vĩnh Hưng</v>
      </c>
      <c r="C123" s="158">
        <f t="shared" si="14"/>
        <v>0</v>
      </c>
      <c r="D123" s="158"/>
      <c r="E123" s="158"/>
      <c r="F123" s="158"/>
      <c r="G123" s="158"/>
      <c r="H123" s="158"/>
      <c r="I123" s="158"/>
      <c r="J123" s="158"/>
      <c r="K123" s="158"/>
      <c r="L123" s="158"/>
      <c r="M123" s="158"/>
      <c r="N123" s="158"/>
      <c r="O123" s="158"/>
      <c r="P123" s="158"/>
      <c r="Q123" s="158"/>
      <c r="R123" s="158"/>
    </row>
    <row r="124" spans="1:19" ht="15.75">
      <c r="A124" s="76"/>
      <c r="B124" s="221" t="str">
        <f t="shared" si="15"/>
        <v xml:space="preserve"> - UBND huyện Mộc Hóa</v>
      </c>
      <c r="C124" s="158">
        <f t="shared" si="14"/>
        <v>21262</v>
      </c>
      <c r="D124" s="158"/>
      <c r="E124" s="158"/>
      <c r="F124" s="158"/>
      <c r="G124" s="158"/>
      <c r="H124" s="158"/>
      <c r="I124" s="158"/>
      <c r="J124" s="158"/>
      <c r="K124" s="158"/>
      <c r="L124" s="158"/>
      <c r="M124" s="158"/>
      <c r="N124" s="158"/>
      <c r="O124" s="158"/>
      <c r="P124" s="158"/>
      <c r="Q124" s="158"/>
      <c r="R124" s="158">
        <v>21262</v>
      </c>
      <c r="S124" t="s">
        <v>1352</v>
      </c>
    </row>
    <row r="125" spans="1:19" ht="15.75">
      <c r="A125" s="76"/>
      <c r="B125" s="221" t="str">
        <f t="shared" si="15"/>
        <v xml:space="preserve"> - UBND huyện Tân Thạnh</v>
      </c>
      <c r="C125" s="158">
        <f t="shared" si="14"/>
        <v>1000</v>
      </c>
      <c r="D125" s="158"/>
      <c r="E125" s="158"/>
      <c r="F125" s="158"/>
      <c r="G125" s="158"/>
      <c r="H125" s="158"/>
      <c r="I125" s="158"/>
      <c r="J125" s="158"/>
      <c r="K125" s="158"/>
      <c r="L125" s="158"/>
      <c r="M125" s="158">
        <v>1000</v>
      </c>
      <c r="N125" s="158">
        <f>+M125</f>
        <v>1000</v>
      </c>
      <c r="O125" s="158"/>
      <c r="P125" s="158"/>
      <c r="Q125" s="158"/>
      <c r="R125" s="158"/>
      <c r="S125" t="s">
        <v>1352</v>
      </c>
    </row>
    <row r="126" spans="1:19" ht="15.75">
      <c r="A126" s="76"/>
      <c r="B126" s="221" t="str">
        <f t="shared" si="15"/>
        <v xml:space="preserve"> - UBND huyện Thạnh Hóa</v>
      </c>
      <c r="C126" s="158">
        <f t="shared" si="14"/>
        <v>0</v>
      </c>
      <c r="D126" s="158"/>
      <c r="E126" s="158"/>
      <c r="F126" s="158"/>
      <c r="G126" s="158"/>
      <c r="H126" s="158"/>
      <c r="I126" s="158"/>
      <c r="J126" s="158"/>
      <c r="K126" s="158"/>
      <c r="L126" s="158"/>
      <c r="M126" s="158"/>
      <c r="N126" s="158"/>
      <c r="O126" s="158"/>
      <c r="P126" s="158"/>
      <c r="Q126" s="158"/>
      <c r="R126" s="158"/>
    </row>
    <row r="127" spans="1:19" ht="15.75">
      <c r="A127" s="76"/>
      <c r="B127" s="221" t="str">
        <f t="shared" si="15"/>
        <v xml:space="preserve"> - UBND huyện Thủ Thừa</v>
      </c>
      <c r="C127" s="158">
        <f t="shared" si="14"/>
        <v>0</v>
      </c>
      <c r="D127" s="158"/>
      <c r="E127" s="158"/>
      <c r="F127" s="158"/>
      <c r="G127" s="158"/>
      <c r="H127" s="158"/>
      <c r="I127" s="158"/>
      <c r="J127" s="158"/>
      <c r="K127" s="158"/>
      <c r="L127" s="158"/>
      <c r="M127" s="158"/>
      <c r="N127" s="158"/>
      <c r="O127" s="158"/>
      <c r="P127" s="158"/>
      <c r="Q127" s="158"/>
      <c r="R127" s="158"/>
    </row>
    <row r="128" spans="1:19" ht="15.75">
      <c r="A128" s="76"/>
      <c r="B128" s="221" t="str">
        <f t="shared" si="15"/>
        <v xml:space="preserve"> - UBND huyện Bến Lức</v>
      </c>
      <c r="C128" s="158">
        <f t="shared" si="14"/>
        <v>1000</v>
      </c>
      <c r="D128" s="158"/>
      <c r="E128" s="158"/>
      <c r="F128" s="158"/>
      <c r="G128" s="158"/>
      <c r="H128" s="158"/>
      <c r="I128" s="158"/>
      <c r="J128" s="158"/>
      <c r="K128" s="158"/>
      <c r="L128" s="158"/>
      <c r="M128" s="158">
        <v>1000</v>
      </c>
      <c r="N128" s="158">
        <f>+M128</f>
        <v>1000</v>
      </c>
      <c r="O128" s="158"/>
      <c r="P128" s="158"/>
      <c r="Q128" s="158"/>
      <c r="R128" s="158"/>
      <c r="S128" t="s">
        <v>1352</v>
      </c>
    </row>
    <row r="129" spans="1:19" ht="15.75">
      <c r="A129" s="76"/>
      <c r="B129" s="221" t="str">
        <f t="shared" si="15"/>
        <v xml:space="preserve"> - UBND huyện Đức Hòa</v>
      </c>
      <c r="C129" s="158">
        <f t="shared" si="14"/>
        <v>1000</v>
      </c>
      <c r="D129" s="158"/>
      <c r="E129" s="158"/>
      <c r="F129" s="158"/>
      <c r="G129" s="158"/>
      <c r="H129" s="158"/>
      <c r="I129" s="158"/>
      <c r="J129" s="158"/>
      <c r="K129" s="158"/>
      <c r="L129" s="158"/>
      <c r="M129" s="158">
        <v>1000</v>
      </c>
      <c r="N129" s="158">
        <f>+M129</f>
        <v>1000</v>
      </c>
      <c r="O129" s="158"/>
      <c r="P129" s="158"/>
      <c r="Q129" s="158"/>
      <c r="R129" s="158"/>
      <c r="S129" t="s">
        <v>1352</v>
      </c>
    </row>
    <row r="130" spans="1:19" ht="15.75">
      <c r="A130" s="76"/>
      <c r="B130" s="221" t="str">
        <f t="shared" si="15"/>
        <v xml:space="preserve"> - UBND huyện Đức Huệ</v>
      </c>
      <c r="C130" s="158">
        <f t="shared" si="14"/>
        <v>0</v>
      </c>
      <c r="D130" s="158"/>
      <c r="E130" s="158"/>
      <c r="F130" s="158"/>
      <c r="G130" s="158"/>
      <c r="H130" s="158"/>
      <c r="I130" s="158"/>
      <c r="J130" s="158"/>
      <c r="K130" s="158"/>
      <c r="L130" s="158"/>
      <c r="M130" s="158"/>
      <c r="N130" s="158"/>
      <c r="O130" s="158"/>
      <c r="P130" s="158"/>
      <c r="Q130" s="158"/>
      <c r="R130" s="158"/>
    </row>
    <row r="131" spans="1:19" ht="15.75">
      <c r="A131" s="76"/>
      <c r="B131" s="221" t="str">
        <f t="shared" si="15"/>
        <v xml:space="preserve"> - UBND huyện Châu Thành</v>
      </c>
      <c r="C131" s="158">
        <f t="shared" si="14"/>
        <v>6000</v>
      </c>
      <c r="D131" s="158"/>
      <c r="E131" s="158"/>
      <c r="F131" s="158"/>
      <c r="G131" s="158"/>
      <c r="H131" s="158"/>
      <c r="I131" s="158"/>
      <c r="J131" s="158"/>
      <c r="K131" s="158"/>
      <c r="L131" s="158"/>
      <c r="M131" s="158">
        <v>6000</v>
      </c>
      <c r="N131" s="158">
        <f>+M131</f>
        <v>6000</v>
      </c>
      <c r="O131" s="158"/>
      <c r="P131" s="158"/>
      <c r="Q131" s="158"/>
      <c r="R131" s="158"/>
      <c r="S131" t="s">
        <v>1352</v>
      </c>
    </row>
    <row r="132" spans="1:19" ht="15.75">
      <c r="A132" s="76"/>
      <c r="B132" s="221" t="str">
        <f t="shared" si="15"/>
        <v xml:space="preserve"> - UBND huyện Tân Trụ</v>
      </c>
      <c r="C132" s="158">
        <f t="shared" si="14"/>
        <v>1000</v>
      </c>
      <c r="D132" s="158"/>
      <c r="E132" s="158"/>
      <c r="F132" s="158"/>
      <c r="G132" s="158"/>
      <c r="H132" s="158"/>
      <c r="I132" s="158"/>
      <c r="J132" s="158"/>
      <c r="K132" s="158"/>
      <c r="L132" s="158"/>
      <c r="M132" s="158">
        <v>1000</v>
      </c>
      <c r="N132" s="158">
        <v>510</v>
      </c>
      <c r="O132" s="158">
        <v>490</v>
      </c>
      <c r="P132" s="158"/>
      <c r="Q132" s="158"/>
      <c r="R132" s="158"/>
      <c r="S132" t="s">
        <v>1352</v>
      </c>
    </row>
    <row r="133" spans="1:19" ht="15.75">
      <c r="A133" s="76"/>
      <c r="B133" s="221" t="str">
        <f t="shared" si="15"/>
        <v xml:space="preserve"> - UBND huyện Cần Đước</v>
      </c>
      <c r="C133" s="158">
        <f t="shared" si="14"/>
        <v>1000</v>
      </c>
      <c r="D133" s="158"/>
      <c r="E133" s="158"/>
      <c r="F133" s="158"/>
      <c r="G133" s="158"/>
      <c r="H133" s="158"/>
      <c r="I133" s="158"/>
      <c r="J133" s="158"/>
      <c r="K133" s="158"/>
      <c r="L133" s="158"/>
      <c r="M133" s="158">
        <v>1000</v>
      </c>
      <c r="N133" s="158">
        <f>+M133</f>
        <v>1000</v>
      </c>
      <c r="O133" s="158"/>
      <c r="P133" s="158"/>
      <c r="Q133" s="158"/>
      <c r="R133" s="158"/>
      <c r="S133" t="s">
        <v>1352</v>
      </c>
    </row>
    <row r="134" spans="1:19" ht="15.75">
      <c r="A134" s="76"/>
      <c r="B134" s="221" t="str">
        <f t="shared" si="15"/>
        <v xml:space="preserve"> - UBND huyện Cần Giuộc</v>
      </c>
      <c r="C134" s="158">
        <f t="shared" si="14"/>
        <v>1000</v>
      </c>
      <c r="D134" s="158"/>
      <c r="E134" s="158"/>
      <c r="F134" s="158"/>
      <c r="G134" s="158"/>
      <c r="H134" s="158"/>
      <c r="I134" s="158"/>
      <c r="J134" s="158"/>
      <c r="K134" s="158"/>
      <c r="L134" s="158"/>
      <c r="M134" s="158">
        <v>1000</v>
      </c>
      <c r="N134" s="158">
        <f>+M134</f>
        <v>1000</v>
      </c>
      <c r="O134" s="158"/>
      <c r="P134" s="158"/>
      <c r="Q134" s="158"/>
      <c r="R134" s="158"/>
      <c r="S134" t="s">
        <v>1352</v>
      </c>
    </row>
    <row r="135" spans="1:19" s="101" customFormat="1" ht="15.75">
      <c r="A135" s="74" t="s">
        <v>70</v>
      </c>
      <c r="B135" s="222" t="e">
        <f t="shared" si="15"/>
        <v>#REF!</v>
      </c>
      <c r="C135" s="168">
        <f>C136+SUM(C139:C145)</f>
        <v>0</v>
      </c>
      <c r="D135" s="168">
        <f t="shared" ref="D135" si="17">D136+SUM(D139:D145)</f>
        <v>0</v>
      </c>
      <c r="E135" s="168">
        <f t="shared" ref="E135" si="18">E136+SUM(E139:E145)</f>
        <v>0</v>
      </c>
      <c r="F135" s="168">
        <f t="shared" ref="F135" si="19">F136+SUM(F139:F145)</f>
        <v>0</v>
      </c>
      <c r="G135" s="168">
        <f t="shared" ref="G135" si="20">G136+SUM(G139:G145)</f>
        <v>0</v>
      </c>
      <c r="H135" s="168">
        <f t="shared" ref="H135" si="21">H136+SUM(H139:H145)</f>
        <v>0</v>
      </c>
      <c r="I135" s="168">
        <f t="shared" ref="I135" si="22">I136+SUM(I139:I145)</f>
        <v>0</v>
      </c>
      <c r="J135" s="168">
        <f t="shared" ref="J135" si="23">J136+SUM(J139:J145)</f>
        <v>0</v>
      </c>
      <c r="K135" s="168">
        <f t="shared" ref="K135" si="24">K136+SUM(K139:K145)</f>
        <v>0</v>
      </c>
      <c r="L135" s="168">
        <f t="shared" ref="L135" si="25">L136+SUM(L139:L145)</f>
        <v>0</v>
      </c>
      <c r="M135" s="168">
        <f t="shared" ref="M135" si="26">M136+SUM(M139:M145)</f>
        <v>0</v>
      </c>
      <c r="N135" s="168">
        <f t="shared" ref="N135" si="27">N136+SUM(N139:N145)</f>
        <v>0</v>
      </c>
      <c r="O135" s="168">
        <f t="shared" ref="O135" si="28">O136+SUM(O139:O145)</f>
        <v>0</v>
      </c>
      <c r="P135" s="168">
        <f t="shared" ref="P135" si="29">P136+SUM(P139:P145)</f>
        <v>0</v>
      </c>
      <c r="Q135" s="168">
        <f t="shared" ref="Q135" si="30">Q136+SUM(Q139:Q145)</f>
        <v>0</v>
      </c>
      <c r="R135" s="168">
        <f t="shared" ref="R135" si="31">R136+SUM(R139:R145)</f>
        <v>0</v>
      </c>
      <c r="S135" s="101" t="s">
        <v>1352</v>
      </c>
    </row>
    <row r="136" spans="1:19" ht="15.75">
      <c r="A136" s="76">
        <v>1</v>
      </c>
      <c r="B136" s="221" t="e">
        <f t="shared" si="15"/>
        <v>#REF!</v>
      </c>
      <c r="C136" s="158">
        <f t="shared" ref="C136:C145" si="32">+D136+E136+F136+G136+H136+I136+J136+K136+L136+M136++P136+Q136+R136</f>
        <v>0</v>
      </c>
      <c r="D136" s="158"/>
      <c r="E136" s="158"/>
      <c r="F136" s="158"/>
      <c r="G136" s="158"/>
      <c r="H136" s="158"/>
      <c r="I136" s="158"/>
      <c r="J136" s="158"/>
      <c r="K136" s="158"/>
      <c r="L136" s="158"/>
      <c r="M136" s="158"/>
      <c r="N136" s="158"/>
      <c r="O136" s="158"/>
      <c r="P136" s="158"/>
      <c r="Q136" s="158"/>
      <c r="R136" s="158"/>
    </row>
    <row r="137" spans="1:19" ht="15.75">
      <c r="A137" s="76"/>
      <c r="B137" s="221" t="e">
        <f t="shared" si="15"/>
        <v>#REF!</v>
      </c>
      <c r="C137" s="158">
        <f t="shared" si="32"/>
        <v>0</v>
      </c>
      <c r="D137" s="158"/>
      <c r="E137" s="158"/>
      <c r="F137" s="158"/>
      <c r="G137" s="158"/>
      <c r="H137" s="158"/>
      <c r="I137" s="158"/>
      <c r="J137" s="158"/>
      <c r="K137" s="158"/>
      <c r="L137" s="158"/>
      <c r="M137" s="158"/>
      <c r="N137" s="158"/>
      <c r="O137" s="158"/>
      <c r="P137" s="158"/>
      <c r="Q137" s="158"/>
      <c r="R137" s="158"/>
    </row>
    <row r="138" spans="1:19" ht="15.75">
      <c r="A138" s="76"/>
      <c r="B138" s="221" t="e">
        <f t="shared" si="15"/>
        <v>#REF!</v>
      </c>
      <c r="C138" s="158">
        <f t="shared" si="32"/>
        <v>0</v>
      </c>
      <c r="D138" s="158"/>
      <c r="E138" s="158"/>
      <c r="F138" s="158"/>
      <c r="G138" s="158"/>
      <c r="H138" s="158"/>
      <c r="I138" s="158"/>
      <c r="J138" s="158"/>
      <c r="K138" s="158"/>
      <c r="L138" s="158"/>
      <c r="M138" s="158"/>
      <c r="N138" s="158"/>
      <c r="O138" s="158"/>
      <c r="P138" s="158"/>
      <c r="Q138" s="158"/>
      <c r="R138" s="158"/>
    </row>
    <row r="139" spans="1:19" ht="15.75">
      <c r="A139" s="76">
        <v>2</v>
      </c>
      <c r="B139" s="221" t="e">
        <f t="shared" si="15"/>
        <v>#REF!</v>
      </c>
      <c r="C139" s="158">
        <f t="shared" si="32"/>
        <v>0</v>
      </c>
      <c r="D139" s="158"/>
      <c r="E139" s="158"/>
      <c r="F139" s="158"/>
      <c r="G139" s="158"/>
      <c r="H139" s="158"/>
      <c r="I139" s="158"/>
      <c r="J139" s="158"/>
      <c r="K139" s="158"/>
      <c r="L139" s="158"/>
      <c r="M139" s="158"/>
      <c r="N139" s="158"/>
      <c r="O139" s="158"/>
      <c r="P139" s="158"/>
      <c r="Q139" s="158"/>
      <c r="R139" s="158"/>
    </row>
    <row r="140" spans="1:19" ht="15.75">
      <c r="A140" s="76">
        <v>3</v>
      </c>
      <c r="B140" s="221" t="e">
        <f t="shared" si="15"/>
        <v>#REF!</v>
      </c>
      <c r="C140" s="158">
        <f t="shared" si="32"/>
        <v>0</v>
      </c>
      <c r="D140" s="158"/>
      <c r="E140" s="158"/>
      <c r="F140" s="158"/>
      <c r="G140" s="158"/>
      <c r="H140" s="158"/>
      <c r="I140" s="158"/>
      <c r="J140" s="158"/>
      <c r="K140" s="158"/>
      <c r="L140" s="158"/>
      <c r="M140" s="158"/>
      <c r="N140" s="158"/>
      <c r="O140" s="158"/>
      <c r="P140" s="158"/>
      <c r="Q140" s="158"/>
      <c r="R140" s="158"/>
    </row>
    <row r="141" spans="1:19" ht="15.75">
      <c r="A141" s="76">
        <v>4</v>
      </c>
      <c r="B141" s="221" t="e">
        <f t="shared" si="15"/>
        <v>#REF!</v>
      </c>
      <c r="C141" s="158">
        <f t="shared" si="32"/>
        <v>0</v>
      </c>
      <c r="D141" s="158"/>
      <c r="E141" s="158"/>
      <c r="F141" s="158"/>
      <c r="G141" s="158"/>
      <c r="H141" s="158"/>
      <c r="I141" s="158"/>
      <c r="J141" s="158"/>
      <c r="K141" s="158"/>
      <c r="L141" s="158"/>
      <c r="M141" s="158"/>
      <c r="N141" s="158"/>
      <c r="O141" s="158"/>
      <c r="P141" s="158"/>
      <c r="Q141" s="158"/>
      <c r="R141" s="158"/>
    </row>
    <row r="142" spans="1:19" ht="15.75">
      <c r="A142" s="76">
        <v>5</v>
      </c>
      <c r="B142" s="221" t="e">
        <f t="shared" si="15"/>
        <v>#REF!</v>
      </c>
      <c r="C142" s="158">
        <f t="shared" si="32"/>
        <v>0</v>
      </c>
      <c r="D142" s="158"/>
      <c r="E142" s="158"/>
      <c r="F142" s="158"/>
      <c r="G142" s="158"/>
      <c r="H142" s="158"/>
      <c r="I142" s="158"/>
      <c r="J142" s="158"/>
      <c r="K142" s="158"/>
      <c r="L142" s="158"/>
      <c r="M142" s="158"/>
      <c r="N142" s="158"/>
      <c r="O142" s="158"/>
      <c r="P142" s="158"/>
      <c r="Q142" s="158"/>
      <c r="R142" s="158"/>
    </row>
    <row r="143" spans="1:19" ht="15.75">
      <c r="A143" s="76">
        <v>6</v>
      </c>
      <c r="B143" s="221" t="e">
        <f t="shared" ref="B143:B171" si="33">B62</f>
        <v>#REF!</v>
      </c>
      <c r="C143" s="158">
        <f t="shared" si="32"/>
        <v>0</v>
      </c>
      <c r="D143" s="158"/>
      <c r="E143" s="158"/>
      <c r="F143" s="158"/>
      <c r="G143" s="158"/>
      <c r="H143" s="158"/>
      <c r="I143" s="158"/>
      <c r="J143" s="158"/>
      <c r="K143" s="158"/>
      <c r="L143" s="158"/>
      <c r="M143" s="158"/>
      <c r="N143" s="158"/>
      <c r="O143" s="158"/>
      <c r="P143" s="158"/>
      <c r="Q143" s="158"/>
      <c r="R143" s="158"/>
    </row>
    <row r="144" spans="1:19" ht="15.75">
      <c r="A144" s="76">
        <v>7</v>
      </c>
      <c r="B144" s="221" t="e">
        <f t="shared" si="33"/>
        <v>#REF!</v>
      </c>
      <c r="C144" s="158">
        <f t="shared" si="32"/>
        <v>0</v>
      </c>
      <c r="D144" s="158"/>
      <c r="E144" s="158"/>
      <c r="F144" s="158"/>
      <c r="G144" s="158"/>
      <c r="H144" s="158"/>
      <c r="I144" s="158"/>
      <c r="J144" s="158"/>
      <c r="K144" s="158"/>
      <c r="L144" s="158"/>
      <c r="M144" s="158"/>
      <c r="N144" s="158"/>
      <c r="O144" s="158"/>
      <c r="P144" s="158"/>
      <c r="Q144" s="158"/>
      <c r="R144" s="158"/>
    </row>
    <row r="145" spans="1:19" ht="15.75">
      <c r="A145" s="76">
        <v>8</v>
      </c>
      <c r="B145" s="221" t="e">
        <f t="shared" si="33"/>
        <v>#REF!</v>
      </c>
      <c r="C145" s="158">
        <f t="shared" si="32"/>
        <v>0</v>
      </c>
      <c r="D145" s="158"/>
      <c r="E145" s="158"/>
      <c r="F145" s="158"/>
      <c r="G145" s="158"/>
      <c r="H145" s="158"/>
      <c r="I145" s="158"/>
      <c r="J145" s="158"/>
      <c r="K145" s="158"/>
      <c r="L145" s="158"/>
      <c r="M145" s="158"/>
      <c r="N145" s="158"/>
      <c r="O145" s="158"/>
      <c r="P145" s="158"/>
      <c r="Q145" s="158"/>
      <c r="R145" s="158"/>
    </row>
    <row r="146" spans="1:19" s="101" customFormat="1" ht="15.75">
      <c r="A146" s="74" t="s">
        <v>73</v>
      </c>
      <c r="B146" s="222" t="e">
        <f t="shared" si="33"/>
        <v>#REF!</v>
      </c>
      <c r="C146" s="168">
        <f>SUM(C147:C149)</f>
        <v>0</v>
      </c>
      <c r="D146" s="168">
        <f t="shared" ref="D146" si="34">SUM(D147:D149)</f>
        <v>0</v>
      </c>
      <c r="E146" s="168">
        <f t="shared" ref="E146" si="35">SUM(E147:E149)</f>
        <v>0</v>
      </c>
      <c r="F146" s="168">
        <f t="shared" ref="F146" si="36">SUM(F147:F149)</f>
        <v>0</v>
      </c>
      <c r="G146" s="168">
        <f t="shared" ref="G146" si="37">SUM(G147:G149)</f>
        <v>0</v>
      </c>
      <c r="H146" s="168">
        <f t="shared" ref="H146" si="38">SUM(H147:H149)</f>
        <v>0</v>
      </c>
      <c r="I146" s="168">
        <f t="shared" ref="I146" si="39">SUM(I147:I149)</f>
        <v>0</v>
      </c>
      <c r="J146" s="168">
        <f t="shared" ref="J146" si="40">SUM(J147:J149)</f>
        <v>0</v>
      </c>
      <c r="K146" s="168">
        <f t="shared" ref="K146" si="41">SUM(K147:K149)</f>
        <v>0</v>
      </c>
      <c r="L146" s="168">
        <f t="shared" ref="L146" si="42">SUM(L147:L149)</f>
        <v>0</v>
      </c>
      <c r="M146" s="168">
        <f t="shared" ref="M146" si="43">SUM(M147:M149)</f>
        <v>0</v>
      </c>
      <c r="N146" s="168">
        <f t="shared" ref="N146" si="44">SUM(N147:N149)</f>
        <v>0</v>
      </c>
      <c r="O146" s="168">
        <f t="shared" ref="O146" si="45">SUM(O147:O149)</f>
        <v>0</v>
      </c>
      <c r="P146" s="168">
        <f t="shared" ref="P146" si="46">SUM(P147:P149)</f>
        <v>0</v>
      </c>
      <c r="Q146" s="168">
        <f t="shared" ref="Q146" si="47">SUM(Q147:Q149)</f>
        <v>0</v>
      </c>
      <c r="R146" s="168">
        <f t="shared" ref="R146" si="48">SUM(R147:R149)</f>
        <v>0</v>
      </c>
      <c r="S146" s="101" t="s">
        <v>1352</v>
      </c>
    </row>
    <row r="147" spans="1:19" ht="15.75">
      <c r="A147" s="76">
        <v>1</v>
      </c>
      <c r="B147" s="221" t="e">
        <f t="shared" si="33"/>
        <v>#REF!</v>
      </c>
      <c r="C147" s="158">
        <f t="shared" ref="C147:C175" si="49">+D147+E147+F147+G147+H147+I147+J147+K147+L147+M147++P147+Q147+R147</f>
        <v>0</v>
      </c>
      <c r="D147" s="158"/>
      <c r="E147" s="158"/>
      <c r="F147" s="158"/>
      <c r="G147" s="158"/>
      <c r="H147" s="158"/>
      <c r="I147" s="158"/>
      <c r="J147" s="158"/>
      <c r="K147" s="158"/>
      <c r="L147" s="158"/>
      <c r="M147" s="158"/>
      <c r="N147" s="158"/>
      <c r="O147" s="158"/>
      <c r="P147" s="158"/>
      <c r="Q147" s="158"/>
      <c r="R147" s="158"/>
    </row>
    <row r="148" spans="1:19" ht="15.75">
      <c r="A148" s="76">
        <v>2</v>
      </c>
      <c r="B148" s="221" t="e">
        <f t="shared" si="33"/>
        <v>#REF!</v>
      </c>
      <c r="C148" s="158">
        <f t="shared" si="49"/>
        <v>0</v>
      </c>
      <c r="D148" s="158"/>
      <c r="E148" s="158"/>
      <c r="F148" s="158"/>
      <c r="G148" s="158"/>
      <c r="H148" s="158"/>
      <c r="I148" s="158"/>
      <c r="J148" s="158"/>
      <c r="K148" s="158"/>
      <c r="L148" s="158"/>
      <c r="M148" s="158"/>
      <c r="N148" s="158"/>
      <c r="O148" s="158"/>
      <c r="P148" s="158"/>
      <c r="Q148" s="158"/>
      <c r="R148" s="158"/>
    </row>
    <row r="149" spans="1:19" ht="15.75">
      <c r="A149" s="76">
        <v>3</v>
      </c>
      <c r="B149" s="221" t="e">
        <f t="shared" si="33"/>
        <v>#REF!</v>
      </c>
      <c r="C149" s="158">
        <f t="shared" si="49"/>
        <v>0</v>
      </c>
      <c r="D149" s="158"/>
      <c r="E149" s="158"/>
      <c r="F149" s="158"/>
      <c r="G149" s="158"/>
      <c r="H149" s="158"/>
      <c r="I149" s="158"/>
      <c r="J149" s="158"/>
      <c r="K149" s="158"/>
      <c r="L149" s="158"/>
      <c r="M149" s="158"/>
      <c r="N149" s="158"/>
      <c r="O149" s="158"/>
      <c r="P149" s="158"/>
      <c r="Q149" s="158"/>
      <c r="R149" s="158"/>
    </row>
    <row r="150" spans="1:19" s="101" customFormat="1" ht="15.75">
      <c r="A150" s="74" t="s">
        <v>77</v>
      </c>
      <c r="B150" s="222" t="e">
        <f t="shared" si="33"/>
        <v>#REF!</v>
      </c>
      <c r="C150" s="168">
        <f t="shared" si="49"/>
        <v>0</v>
      </c>
      <c r="D150" s="168"/>
      <c r="E150" s="168"/>
      <c r="F150" s="168"/>
      <c r="G150" s="168"/>
      <c r="H150" s="168"/>
      <c r="I150" s="168"/>
      <c r="J150" s="168"/>
      <c r="K150" s="168"/>
      <c r="L150" s="168"/>
      <c r="M150" s="168"/>
      <c r="N150" s="168"/>
      <c r="O150" s="168"/>
      <c r="P150" s="168"/>
      <c r="Q150" s="168"/>
      <c r="R150" s="168"/>
      <c r="S150" s="101" t="s">
        <v>1352</v>
      </c>
    </row>
    <row r="151" spans="1:19" s="101" customFormat="1" ht="15.75">
      <c r="A151" s="74" t="s">
        <v>113</v>
      </c>
      <c r="B151" s="222" t="e">
        <f t="shared" si="33"/>
        <v>#REF!</v>
      </c>
      <c r="C151" s="168">
        <f t="shared" si="49"/>
        <v>0</v>
      </c>
      <c r="D151" s="168">
        <f>SUM(D152:D171)</f>
        <v>0</v>
      </c>
      <c r="E151" s="168">
        <f t="shared" ref="E151:R151" si="50">SUM(E152:E171)</f>
        <v>0</v>
      </c>
      <c r="F151" s="168">
        <f t="shared" si="50"/>
        <v>0</v>
      </c>
      <c r="G151" s="168">
        <f t="shared" si="50"/>
        <v>0</v>
      </c>
      <c r="H151" s="168">
        <f t="shared" si="50"/>
        <v>0</v>
      </c>
      <c r="I151" s="168">
        <f t="shared" si="50"/>
        <v>0</v>
      </c>
      <c r="J151" s="168">
        <f t="shared" si="50"/>
        <v>0</v>
      </c>
      <c r="K151" s="168">
        <f t="shared" si="50"/>
        <v>0</v>
      </c>
      <c r="L151" s="168">
        <f t="shared" si="50"/>
        <v>0</v>
      </c>
      <c r="M151" s="168">
        <f t="shared" si="50"/>
        <v>0</v>
      </c>
      <c r="N151" s="168">
        <f t="shared" si="50"/>
        <v>0</v>
      </c>
      <c r="O151" s="168">
        <f t="shared" si="50"/>
        <v>0</v>
      </c>
      <c r="P151" s="168">
        <f t="shared" si="50"/>
        <v>0</v>
      </c>
      <c r="Q151" s="168">
        <f t="shared" si="50"/>
        <v>0</v>
      </c>
      <c r="R151" s="168">
        <f t="shared" si="50"/>
        <v>0</v>
      </c>
      <c r="S151" s="101" t="s">
        <v>1352</v>
      </c>
    </row>
    <row r="152" spans="1:19" ht="15.75">
      <c r="A152" s="76">
        <v>1</v>
      </c>
      <c r="B152" s="221" t="e">
        <f t="shared" si="33"/>
        <v>#REF!</v>
      </c>
      <c r="C152" s="158">
        <f t="shared" si="49"/>
        <v>0</v>
      </c>
      <c r="D152" s="158"/>
      <c r="E152" s="158"/>
      <c r="F152" s="158"/>
      <c r="G152" s="158"/>
      <c r="H152" s="158"/>
      <c r="I152" s="158"/>
      <c r="J152" s="158"/>
      <c r="K152" s="158"/>
      <c r="L152" s="158"/>
      <c r="M152" s="158"/>
      <c r="N152" s="158"/>
      <c r="O152" s="158"/>
      <c r="P152" s="158"/>
      <c r="Q152" s="158"/>
      <c r="R152" s="158"/>
    </row>
    <row r="153" spans="1:19" ht="15.75">
      <c r="A153" s="76">
        <v>2</v>
      </c>
      <c r="B153" s="221" t="e">
        <f t="shared" si="33"/>
        <v>#REF!</v>
      </c>
      <c r="C153" s="158">
        <f t="shared" si="49"/>
        <v>0</v>
      </c>
      <c r="D153" s="158"/>
      <c r="E153" s="158"/>
      <c r="F153" s="158"/>
      <c r="G153" s="158"/>
      <c r="H153" s="158"/>
      <c r="I153" s="158"/>
      <c r="J153" s="158"/>
      <c r="K153" s="158"/>
      <c r="L153" s="158"/>
      <c r="M153" s="158"/>
      <c r="N153" s="158"/>
      <c r="O153" s="158"/>
      <c r="P153" s="158"/>
      <c r="Q153" s="158"/>
      <c r="R153" s="158"/>
    </row>
    <row r="154" spans="1:19" ht="15.75">
      <c r="A154" s="76">
        <v>3</v>
      </c>
      <c r="B154" s="221" t="e">
        <f t="shared" si="33"/>
        <v>#REF!</v>
      </c>
      <c r="C154" s="158">
        <f t="shared" si="49"/>
        <v>0</v>
      </c>
      <c r="D154" s="158"/>
      <c r="E154" s="158"/>
      <c r="F154" s="158"/>
      <c r="G154" s="158"/>
      <c r="H154" s="158"/>
      <c r="I154" s="158"/>
      <c r="J154" s="158"/>
      <c r="K154" s="158"/>
      <c r="L154" s="158"/>
      <c r="M154" s="158"/>
      <c r="N154" s="158"/>
      <c r="O154" s="158"/>
      <c r="P154" s="158"/>
      <c r="Q154" s="158"/>
      <c r="R154" s="158"/>
    </row>
    <row r="155" spans="1:19" ht="15.75">
      <c r="A155" s="76">
        <v>4</v>
      </c>
      <c r="B155" s="221" t="e">
        <f t="shared" si="33"/>
        <v>#REF!</v>
      </c>
      <c r="C155" s="158">
        <f t="shared" si="49"/>
        <v>0</v>
      </c>
      <c r="D155" s="158"/>
      <c r="E155" s="158"/>
      <c r="F155" s="158"/>
      <c r="G155" s="158"/>
      <c r="H155" s="158"/>
      <c r="I155" s="158"/>
      <c r="J155" s="158"/>
      <c r="K155" s="158"/>
      <c r="L155" s="158"/>
      <c r="M155" s="158"/>
      <c r="N155" s="158"/>
      <c r="O155" s="158"/>
      <c r="P155" s="158"/>
      <c r="Q155" s="158"/>
      <c r="R155" s="158"/>
    </row>
    <row r="156" spans="1:19" ht="15.75">
      <c r="A156" s="76">
        <v>5</v>
      </c>
      <c r="B156" s="221" t="e">
        <f t="shared" si="33"/>
        <v>#REF!</v>
      </c>
      <c r="C156" s="158">
        <f t="shared" si="49"/>
        <v>0</v>
      </c>
      <c r="D156" s="158"/>
      <c r="E156" s="158"/>
      <c r="F156" s="158"/>
      <c r="G156" s="158"/>
      <c r="H156" s="158"/>
      <c r="I156" s="158"/>
      <c r="J156" s="158"/>
      <c r="K156" s="158"/>
      <c r="L156" s="158"/>
      <c r="M156" s="158"/>
      <c r="N156" s="158"/>
      <c r="O156" s="158"/>
      <c r="P156" s="158"/>
      <c r="Q156" s="158"/>
      <c r="R156" s="158"/>
    </row>
    <row r="157" spans="1:19" ht="15.75">
      <c r="A157" s="76">
        <v>6</v>
      </c>
      <c r="B157" s="221" t="e">
        <f t="shared" si="33"/>
        <v>#REF!</v>
      </c>
      <c r="C157" s="158">
        <f t="shared" si="49"/>
        <v>0</v>
      </c>
      <c r="D157" s="158"/>
      <c r="E157" s="158"/>
      <c r="F157" s="158"/>
      <c r="G157" s="158"/>
      <c r="H157" s="158"/>
      <c r="I157" s="158"/>
      <c r="J157" s="158"/>
      <c r="K157" s="158"/>
      <c r="L157" s="158"/>
      <c r="M157" s="158"/>
      <c r="N157" s="158"/>
      <c r="O157" s="158"/>
      <c r="P157" s="158"/>
      <c r="Q157" s="158"/>
      <c r="R157" s="158"/>
    </row>
    <row r="158" spans="1:19" ht="15.75">
      <c r="A158" s="76">
        <v>7</v>
      </c>
      <c r="B158" s="221" t="e">
        <f t="shared" si="33"/>
        <v>#REF!</v>
      </c>
      <c r="C158" s="158">
        <f t="shared" si="49"/>
        <v>0</v>
      </c>
      <c r="D158" s="158"/>
      <c r="E158" s="158"/>
      <c r="F158" s="158"/>
      <c r="G158" s="158"/>
      <c r="H158" s="158"/>
      <c r="I158" s="158"/>
      <c r="J158" s="158"/>
      <c r="K158" s="158"/>
      <c r="L158" s="158"/>
      <c r="M158" s="158"/>
      <c r="N158" s="158"/>
      <c r="O158" s="158"/>
      <c r="P158" s="158"/>
      <c r="Q158" s="158"/>
      <c r="R158" s="158"/>
    </row>
    <row r="159" spans="1:19" ht="15.75">
      <c r="A159" s="76">
        <v>8</v>
      </c>
      <c r="B159" s="221" t="e">
        <f t="shared" si="33"/>
        <v>#REF!</v>
      </c>
      <c r="C159" s="158">
        <f t="shared" si="49"/>
        <v>0</v>
      </c>
      <c r="D159" s="158"/>
      <c r="E159" s="158"/>
      <c r="F159" s="158"/>
      <c r="G159" s="158"/>
      <c r="H159" s="158"/>
      <c r="I159" s="158"/>
      <c r="J159" s="158"/>
      <c r="K159" s="158"/>
      <c r="L159" s="158"/>
      <c r="M159" s="158"/>
      <c r="N159" s="158"/>
      <c r="O159" s="158"/>
      <c r="P159" s="158"/>
      <c r="Q159" s="158"/>
      <c r="R159" s="158"/>
    </row>
    <row r="160" spans="1:19" ht="15.75">
      <c r="A160" s="76">
        <v>9</v>
      </c>
      <c r="B160" s="221" t="e">
        <f t="shared" si="33"/>
        <v>#REF!</v>
      </c>
      <c r="C160" s="158">
        <f t="shared" si="49"/>
        <v>0</v>
      </c>
      <c r="D160" s="158"/>
      <c r="E160" s="158"/>
      <c r="F160" s="158"/>
      <c r="G160" s="158"/>
      <c r="H160" s="158"/>
      <c r="I160" s="158"/>
      <c r="J160" s="158"/>
      <c r="K160" s="158"/>
      <c r="L160" s="158"/>
      <c r="M160" s="158"/>
      <c r="N160" s="158"/>
      <c r="O160" s="158"/>
      <c r="P160" s="158"/>
      <c r="Q160" s="158"/>
      <c r="R160" s="158"/>
    </row>
    <row r="161" spans="1:18" ht="15.75">
      <c r="A161" s="76">
        <v>10</v>
      </c>
      <c r="B161" s="221" t="e">
        <f t="shared" si="33"/>
        <v>#REF!</v>
      </c>
      <c r="C161" s="158">
        <f t="shared" si="49"/>
        <v>0</v>
      </c>
      <c r="D161" s="158"/>
      <c r="E161" s="158"/>
      <c r="F161" s="158"/>
      <c r="G161" s="158"/>
      <c r="H161" s="158"/>
      <c r="I161" s="158"/>
      <c r="J161" s="158"/>
      <c r="K161" s="158"/>
      <c r="L161" s="158"/>
      <c r="M161" s="158"/>
      <c r="N161" s="158"/>
      <c r="O161" s="158"/>
      <c r="P161" s="158"/>
      <c r="Q161" s="158"/>
      <c r="R161" s="158"/>
    </row>
    <row r="162" spans="1:18" ht="15.75">
      <c r="A162" s="76">
        <v>11</v>
      </c>
      <c r="B162" s="221" t="e">
        <f t="shared" si="33"/>
        <v>#REF!</v>
      </c>
      <c r="C162" s="158">
        <f t="shared" si="49"/>
        <v>0</v>
      </c>
      <c r="D162" s="158"/>
      <c r="E162" s="158"/>
      <c r="F162" s="158"/>
      <c r="G162" s="158"/>
      <c r="H162" s="158"/>
      <c r="I162" s="158"/>
      <c r="J162" s="158"/>
      <c r="K162" s="158"/>
      <c r="L162" s="158"/>
      <c r="M162" s="158"/>
      <c r="N162" s="158"/>
      <c r="O162" s="158"/>
      <c r="P162" s="158"/>
      <c r="Q162" s="158"/>
      <c r="R162" s="158"/>
    </row>
    <row r="163" spans="1:18" ht="15.75">
      <c r="A163" s="76">
        <v>12</v>
      </c>
      <c r="B163" s="221" t="e">
        <f t="shared" si="33"/>
        <v>#REF!</v>
      </c>
      <c r="C163" s="158">
        <f t="shared" si="49"/>
        <v>0</v>
      </c>
      <c r="D163" s="158"/>
      <c r="E163" s="158"/>
      <c r="F163" s="158"/>
      <c r="G163" s="158"/>
      <c r="H163" s="158"/>
      <c r="I163" s="158"/>
      <c r="J163" s="158"/>
      <c r="K163" s="158"/>
      <c r="L163" s="158"/>
      <c r="M163" s="158"/>
      <c r="N163" s="158"/>
      <c r="O163" s="158"/>
      <c r="P163" s="158"/>
      <c r="Q163" s="158"/>
      <c r="R163" s="158"/>
    </row>
    <row r="164" spans="1:18" ht="15.75">
      <c r="A164" s="76">
        <v>13</v>
      </c>
      <c r="B164" s="221" t="e">
        <f t="shared" si="33"/>
        <v>#REF!</v>
      </c>
      <c r="C164" s="158">
        <f t="shared" si="49"/>
        <v>0</v>
      </c>
      <c r="D164" s="158"/>
      <c r="E164" s="158"/>
      <c r="F164" s="158"/>
      <c r="G164" s="158"/>
      <c r="H164" s="158"/>
      <c r="I164" s="158"/>
      <c r="J164" s="158"/>
      <c r="K164" s="158"/>
      <c r="L164" s="158"/>
      <c r="M164" s="158"/>
      <c r="N164" s="158"/>
      <c r="O164" s="158"/>
      <c r="P164" s="158"/>
      <c r="Q164" s="158"/>
      <c r="R164" s="158"/>
    </row>
    <row r="165" spans="1:18" ht="15.75">
      <c r="A165" s="76">
        <v>14</v>
      </c>
      <c r="B165" s="221" t="e">
        <f t="shared" si="33"/>
        <v>#REF!</v>
      </c>
      <c r="C165" s="158">
        <f t="shared" si="49"/>
        <v>0</v>
      </c>
      <c r="D165" s="158"/>
      <c r="E165" s="158"/>
      <c r="F165" s="158"/>
      <c r="G165" s="158"/>
      <c r="H165" s="158"/>
      <c r="I165" s="158"/>
      <c r="J165" s="158"/>
      <c r="K165" s="158"/>
      <c r="L165" s="158"/>
      <c r="M165" s="158"/>
      <c r="N165" s="158"/>
      <c r="O165" s="158"/>
      <c r="P165" s="158"/>
      <c r="Q165" s="158"/>
      <c r="R165" s="158"/>
    </row>
    <row r="166" spans="1:18" ht="15.75">
      <c r="A166" s="76">
        <v>15</v>
      </c>
      <c r="B166" s="221" t="e">
        <f t="shared" si="33"/>
        <v>#REF!</v>
      </c>
      <c r="C166" s="158">
        <f t="shared" si="49"/>
        <v>0</v>
      </c>
      <c r="D166" s="158"/>
      <c r="E166" s="158"/>
      <c r="F166" s="158"/>
      <c r="G166" s="158"/>
      <c r="H166" s="158"/>
      <c r="I166" s="158"/>
      <c r="J166" s="158"/>
      <c r="K166" s="158"/>
      <c r="L166" s="158"/>
      <c r="M166" s="158"/>
      <c r="N166" s="158"/>
      <c r="O166" s="158"/>
      <c r="P166" s="158"/>
      <c r="Q166" s="158"/>
      <c r="R166" s="158"/>
    </row>
    <row r="167" spans="1:18" ht="15.75">
      <c r="A167" s="76">
        <v>16</v>
      </c>
      <c r="B167" s="221" t="e">
        <f t="shared" si="33"/>
        <v>#REF!</v>
      </c>
      <c r="C167" s="158">
        <f t="shared" si="49"/>
        <v>0</v>
      </c>
      <c r="D167" s="158"/>
      <c r="E167" s="158"/>
      <c r="F167" s="158"/>
      <c r="G167" s="158"/>
      <c r="H167" s="158"/>
      <c r="I167" s="158"/>
      <c r="J167" s="158"/>
      <c r="K167" s="158"/>
      <c r="L167" s="158"/>
      <c r="M167" s="158"/>
      <c r="N167" s="158"/>
      <c r="O167" s="158"/>
      <c r="P167" s="158"/>
      <c r="Q167" s="158"/>
      <c r="R167" s="158"/>
    </row>
    <row r="168" spans="1:18" ht="15.75">
      <c r="A168" s="76">
        <v>17</v>
      </c>
      <c r="B168" s="221" t="e">
        <f t="shared" si="33"/>
        <v>#REF!</v>
      </c>
      <c r="C168" s="158">
        <f t="shared" si="49"/>
        <v>0</v>
      </c>
      <c r="D168" s="158"/>
      <c r="E168" s="158"/>
      <c r="F168" s="158"/>
      <c r="G168" s="158"/>
      <c r="H168" s="158"/>
      <c r="I168" s="158"/>
      <c r="J168" s="158"/>
      <c r="K168" s="158"/>
      <c r="L168" s="158"/>
      <c r="M168" s="158"/>
      <c r="N168" s="158"/>
      <c r="O168" s="158"/>
      <c r="P168" s="158"/>
      <c r="Q168" s="158"/>
      <c r="R168" s="158"/>
    </row>
    <row r="169" spans="1:18" ht="15.75">
      <c r="A169" s="76">
        <v>18</v>
      </c>
      <c r="B169" s="221" t="e">
        <f t="shared" si="33"/>
        <v>#REF!</v>
      </c>
      <c r="C169" s="158">
        <f t="shared" si="49"/>
        <v>0</v>
      </c>
      <c r="D169" s="158"/>
      <c r="E169" s="158"/>
      <c r="F169" s="158"/>
      <c r="G169" s="158"/>
      <c r="H169" s="158"/>
      <c r="I169" s="158"/>
      <c r="J169" s="158"/>
      <c r="K169" s="158"/>
      <c r="L169" s="158"/>
      <c r="M169" s="158"/>
      <c r="N169" s="158"/>
      <c r="O169" s="158"/>
      <c r="P169" s="158"/>
      <c r="Q169" s="158"/>
      <c r="R169" s="158"/>
    </row>
    <row r="170" spans="1:18" ht="15.75">
      <c r="A170" s="76">
        <v>19</v>
      </c>
      <c r="B170" s="221" t="e">
        <f t="shared" si="33"/>
        <v>#REF!</v>
      </c>
      <c r="C170" s="158">
        <f t="shared" si="49"/>
        <v>0</v>
      </c>
      <c r="D170" s="158"/>
      <c r="E170" s="158"/>
      <c r="F170" s="158"/>
      <c r="G170" s="158"/>
      <c r="H170" s="158"/>
      <c r="I170" s="158"/>
      <c r="J170" s="158"/>
      <c r="K170" s="158"/>
      <c r="L170" s="158"/>
      <c r="M170" s="158"/>
      <c r="N170" s="158"/>
      <c r="O170" s="158"/>
      <c r="P170" s="158"/>
      <c r="Q170" s="158"/>
      <c r="R170" s="158"/>
    </row>
    <row r="171" spans="1:18" ht="15.75">
      <c r="A171" s="97">
        <v>20</v>
      </c>
      <c r="B171" s="221" t="str">
        <f t="shared" si="33"/>
        <v>Khác</v>
      </c>
      <c r="C171" s="158">
        <f t="shared" si="49"/>
        <v>0</v>
      </c>
      <c r="D171" s="160">
        <f>SUM(D172:D175)</f>
        <v>0</v>
      </c>
      <c r="E171" s="160">
        <f t="shared" ref="E171:R171" si="51">SUM(E172:E175)</f>
        <v>0</v>
      </c>
      <c r="F171" s="160">
        <f t="shared" si="51"/>
        <v>0</v>
      </c>
      <c r="G171" s="160">
        <f t="shared" si="51"/>
        <v>0</v>
      </c>
      <c r="H171" s="160">
        <f t="shared" si="51"/>
        <v>0</v>
      </c>
      <c r="I171" s="160">
        <f t="shared" si="51"/>
        <v>0</v>
      </c>
      <c r="J171" s="160">
        <f t="shared" si="51"/>
        <v>0</v>
      </c>
      <c r="K171" s="160">
        <f t="shared" si="51"/>
        <v>0</v>
      </c>
      <c r="L171" s="160">
        <f t="shared" si="51"/>
        <v>0</v>
      </c>
      <c r="M171" s="160">
        <f t="shared" si="51"/>
        <v>0</v>
      </c>
      <c r="N171" s="160">
        <f t="shared" si="51"/>
        <v>0</v>
      </c>
      <c r="O171" s="160">
        <f t="shared" si="51"/>
        <v>0</v>
      </c>
      <c r="P171" s="160">
        <f t="shared" si="51"/>
        <v>0</v>
      </c>
      <c r="Q171" s="160">
        <f t="shared" si="51"/>
        <v>0</v>
      </c>
      <c r="R171" s="160">
        <f t="shared" si="51"/>
        <v>0</v>
      </c>
    </row>
    <row r="172" spans="1:18" ht="15.75">
      <c r="A172" s="97"/>
      <c r="B172" s="467"/>
      <c r="C172" s="158"/>
      <c r="D172" s="160"/>
      <c r="E172" s="160"/>
      <c r="F172" s="160"/>
      <c r="G172" s="160"/>
      <c r="H172" s="160"/>
      <c r="I172" s="160"/>
      <c r="J172" s="160"/>
      <c r="K172" s="160"/>
      <c r="L172" s="160"/>
      <c r="M172" s="160"/>
      <c r="N172" s="160"/>
      <c r="O172" s="160"/>
      <c r="P172" s="160"/>
      <c r="Q172" s="160"/>
      <c r="R172" s="160"/>
    </row>
    <row r="173" spans="1:18" ht="15.75">
      <c r="A173" s="97"/>
      <c r="B173" s="467"/>
      <c r="C173" s="158"/>
      <c r="D173" s="160"/>
      <c r="E173" s="160"/>
      <c r="F173" s="160"/>
      <c r="G173" s="160"/>
      <c r="H173" s="160"/>
      <c r="I173" s="160"/>
      <c r="J173" s="160"/>
      <c r="K173" s="160"/>
      <c r="L173" s="160"/>
      <c r="M173" s="160"/>
      <c r="N173" s="160"/>
      <c r="O173" s="160"/>
      <c r="P173" s="160"/>
      <c r="Q173" s="160"/>
      <c r="R173" s="160"/>
    </row>
    <row r="174" spans="1:18" ht="15.75">
      <c r="A174" s="97"/>
      <c r="B174" s="467"/>
      <c r="C174" s="158"/>
      <c r="D174" s="160"/>
      <c r="E174" s="160"/>
      <c r="F174" s="160"/>
      <c r="G174" s="160"/>
      <c r="H174" s="160"/>
      <c r="I174" s="160"/>
      <c r="J174" s="160"/>
      <c r="K174" s="160"/>
      <c r="L174" s="160"/>
      <c r="M174" s="160"/>
      <c r="N174" s="160"/>
      <c r="O174" s="160"/>
      <c r="P174" s="160"/>
      <c r="Q174" s="160"/>
      <c r="R174" s="160"/>
    </row>
    <row r="175" spans="1:18" ht="15.75">
      <c r="A175" s="97"/>
      <c r="B175" s="467"/>
      <c r="C175" s="158">
        <f t="shared" si="49"/>
        <v>0</v>
      </c>
      <c r="D175" s="160"/>
      <c r="E175" s="160"/>
      <c r="F175" s="160"/>
      <c r="G175" s="160"/>
      <c r="H175" s="160"/>
      <c r="I175" s="160"/>
      <c r="J175" s="160"/>
      <c r="K175" s="160"/>
      <c r="L175" s="160"/>
      <c r="M175" s="160"/>
      <c r="N175" s="160"/>
      <c r="O175" s="160"/>
      <c r="P175" s="160"/>
      <c r="Q175" s="160"/>
      <c r="R175" s="160"/>
    </row>
    <row r="176" spans="1:18">
      <c r="A176" s="473"/>
      <c r="B176" s="473"/>
      <c r="C176" s="473"/>
      <c r="D176" s="473"/>
      <c r="E176" s="473"/>
      <c r="F176" s="473"/>
      <c r="G176" s="473"/>
      <c r="H176" s="473"/>
      <c r="I176" s="473"/>
      <c r="J176" s="473"/>
      <c r="K176" s="473"/>
      <c r="L176" s="473"/>
      <c r="M176" s="473"/>
      <c r="N176" s="473"/>
      <c r="O176" s="473"/>
      <c r="P176" s="473"/>
      <c r="Q176" s="473"/>
      <c r="R176" s="473"/>
    </row>
    <row r="177" spans="1:18">
      <c r="A177" s="468"/>
      <c r="B177" s="468"/>
      <c r="C177" s="468"/>
      <c r="D177" s="468"/>
      <c r="E177" s="468"/>
      <c r="F177" s="468"/>
      <c r="G177" s="468"/>
      <c r="H177" s="468"/>
      <c r="I177" s="468"/>
      <c r="J177" s="468"/>
      <c r="K177" s="468"/>
      <c r="L177" s="468"/>
      <c r="M177" s="468"/>
      <c r="N177" s="468"/>
      <c r="O177" s="468"/>
      <c r="P177" s="468"/>
      <c r="Q177" s="468"/>
      <c r="R177" s="468"/>
    </row>
  </sheetData>
  <customSheetViews>
    <customSheetView guid="{9F606621-8853-4836-9A7E-DBA5CF152671}" showPageBreaks="1">
      <selection activeCell="B9" sqref="B9"/>
      <pageMargins left="0.7" right="0.7" top="0.75" bottom="0.75" header="0.3" footer="0.3"/>
      <pageSetup orientation="portrait" r:id="rId1"/>
    </customSheetView>
    <customSheetView guid="{DB9039ED-C6EA-422D-9A5D-D152D95EDC67}" showPageBreaks="1" printArea="1" filter="1" showAutoFilter="1">
      <selection activeCell="C9" sqref="C9"/>
      <pageMargins left="0.78740157480314965" right="0.31496062992125984" top="0.74803149606299213" bottom="0.74803149606299213" header="0.31496062992125984" footer="0.31496062992125984"/>
      <printOptions horizontalCentered="1"/>
      <pageSetup paperSize="9" scale="68" orientation="landscape" r:id="rId2"/>
      <autoFilter ref="A7:S176">
        <filterColumn colId="18">
          <customFilters>
            <customFilter operator="notEqual" val=" "/>
          </customFilters>
        </filterColumn>
      </autoFilter>
    </customSheetView>
  </customSheetViews>
  <mergeCells count="19">
    <mergeCell ref="E5:E6"/>
    <mergeCell ref="F5:F6"/>
    <mergeCell ref="M5:M6"/>
    <mergeCell ref="N5:O5"/>
    <mergeCell ref="P5:P6"/>
    <mergeCell ref="Q5:Q6"/>
    <mergeCell ref="R5:R6"/>
    <mergeCell ref="A2:R2"/>
    <mergeCell ref="A3:R3"/>
    <mergeCell ref="G5:G6"/>
    <mergeCell ref="H5:H6"/>
    <mergeCell ref="I5:I6"/>
    <mergeCell ref="J5:J6"/>
    <mergeCell ref="K5:K6"/>
    <mergeCell ref="L5:L6"/>
    <mergeCell ref="A5:A6"/>
    <mergeCell ref="B5:B6"/>
    <mergeCell ref="C5:C6"/>
    <mergeCell ref="D5:D6"/>
  </mergeCell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dimension ref="A1:AD143"/>
  <sheetViews>
    <sheetView workbookViewId="0">
      <selection activeCell="B9" sqref="B9"/>
    </sheetView>
  </sheetViews>
  <sheetFormatPr defaultRowHeight="15"/>
  <cols>
    <col min="1" max="1" width="6.140625" customWidth="1"/>
    <col min="2" max="2" width="26.28515625" customWidth="1"/>
    <col min="3" max="3" width="12.28515625" customWidth="1"/>
    <col min="4" max="4" width="9.7109375" bestFit="1" customWidth="1"/>
    <col min="15" max="15" width="9.85546875" customWidth="1"/>
    <col min="16" max="16" width="10.85546875" customWidth="1"/>
    <col min="19" max="20" width="12.140625" customWidth="1"/>
    <col min="21" max="21" width="10.28515625" style="474" customWidth="1"/>
    <col min="22" max="22" width="9.5703125" style="474" bestFit="1" customWidth="1"/>
    <col min="23" max="28" width="11.7109375" style="474" customWidth="1"/>
  </cols>
  <sheetData>
    <row r="1" spans="1:30" ht="15.75">
      <c r="R1" s="26" t="s">
        <v>534</v>
      </c>
    </row>
    <row r="2" spans="1:30" ht="15.75">
      <c r="A2" s="774" t="s">
        <v>839</v>
      </c>
      <c r="B2" s="774"/>
      <c r="C2" s="774"/>
      <c r="D2" s="774"/>
      <c r="E2" s="774"/>
      <c r="F2" s="774"/>
      <c r="G2" s="774"/>
      <c r="H2" s="774"/>
      <c r="I2" s="774"/>
      <c r="J2" s="774"/>
      <c r="K2" s="774"/>
      <c r="L2" s="774"/>
      <c r="M2" s="774"/>
      <c r="N2" s="774"/>
      <c r="O2" s="774"/>
      <c r="P2" s="774"/>
      <c r="Q2" s="774"/>
      <c r="R2" s="774"/>
    </row>
    <row r="3" spans="1:30" ht="15.75">
      <c r="A3" s="774"/>
      <c r="B3" s="774"/>
      <c r="C3" s="774"/>
      <c r="D3" s="774"/>
      <c r="E3" s="774"/>
      <c r="F3" s="774"/>
      <c r="G3" s="774"/>
      <c r="H3" s="774"/>
      <c r="I3" s="774"/>
      <c r="J3" s="774"/>
      <c r="K3" s="774"/>
      <c r="L3" s="774"/>
      <c r="M3" s="774"/>
      <c r="N3" s="774"/>
      <c r="O3" s="774"/>
      <c r="P3" s="774"/>
      <c r="Q3" s="774"/>
      <c r="R3" s="774"/>
    </row>
    <row r="4" spans="1:30" ht="15.75">
      <c r="B4" s="193"/>
      <c r="C4" s="193"/>
      <c r="D4" s="193"/>
      <c r="E4" s="193"/>
      <c r="F4" s="193"/>
      <c r="H4" s="193"/>
      <c r="I4" s="193"/>
      <c r="R4" s="27" t="s">
        <v>56</v>
      </c>
    </row>
    <row r="5" spans="1:30" ht="15.6" customHeight="1">
      <c r="A5" s="773" t="s">
        <v>3</v>
      </c>
      <c r="B5" s="773" t="s">
        <v>161</v>
      </c>
      <c r="C5" s="773" t="s">
        <v>130</v>
      </c>
      <c r="D5" s="773" t="s">
        <v>389</v>
      </c>
      <c r="E5" s="773" t="s">
        <v>390</v>
      </c>
      <c r="F5" s="773" t="s">
        <v>505</v>
      </c>
      <c r="G5" s="773" t="s">
        <v>506</v>
      </c>
      <c r="H5" s="773" t="s">
        <v>507</v>
      </c>
      <c r="I5" s="773" t="s">
        <v>508</v>
      </c>
      <c r="J5" s="773" t="s">
        <v>509</v>
      </c>
      <c r="K5" s="773" t="s">
        <v>510</v>
      </c>
      <c r="L5" s="773" t="s">
        <v>511</v>
      </c>
      <c r="M5" s="773" t="s">
        <v>512</v>
      </c>
      <c r="N5" s="773" t="s">
        <v>162</v>
      </c>
      <c r="O5" s="773"/>
      <c r="P5" s="773" t="s">
        <v>513</v>
      </c>
      <c r="Q5" s="773" t="s">
        <v>514</v>
      </c>
      <c r="R5" s="773" t="s">
        <v>898</v>
      </c>
      <c r="U5" s="782"/>
      <c r="V5" s="782"/>
      <c r="W5" s="782"/>
      <c r="X5" s="475"/>
      <c r="Y5" s="475"/>
      <c r="Z5" s="475"/>
      <c r="AA5" s="475"/>
      <c r="AB5" s="475"/>
    </row>
    <row r="6" spans="1:30" ht="94.5">
      <c r="A6" s="773"/>
      <c r="B6" s="773"/>
      <c r="C6" s="773"/>
      <c r="D6" s="773"/>
      <c r="E6" s="773"/>
      <c r="F6" s="773"/>
      <c r="G6" s="773"/>
      <c r="H6" s="773"/>
      <c r="I6" s="773"/>
      <c r="J6" s="773"/>
      <c r="K6" s="773"/>
      <c r="L6" s="773"/>
      <c r="M6" s="773"/>
      <c r="N6" s="30" t="s">
        <v>531</v>
      </c>
      <c r="O6" s="30" t="s">
        <v>532</v>
      </c>
      <c r="P6" s="773"/>
      <c r="Q6" s="773"/>
      <c r="R6" s="773"/>
      <c r="U6" s="474" t="s">
        <v>1313</v>
      </c>
      <c r="V6" s="474" t="s">
        <v>1314</v>
      </c>
      <c r="W6" s="474" t="s">
        <v>1315</v>
      </c>
      <c r="X6" s="474" t="s">
        <v>1318</v>
      </c>
      <c r="Y6" s="474" t="s">
        <v>1317</v>
      </c>
      <c r="Z6" s="474" t="s">
        <v>898</v>
      </c>
      <c r="AA6" s="474" t="s">
        <v>1319</v>
      </c>
      <c r="AB6" s="474" t="s">
        <v>1320</v>
      </c>
      <c r="AD6" t="s">
        <v>1316</v>
      </c>
    </row>
    <row r="7" spans="1:30"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row>
    <row r="8" spans="1:30" ht="33" customHeight="1">
      <c r="A8" s="71"/>
      <c r="B8" s="72" t="s">
        <v>133</v>
      </c>
      <c r="C8" s="190">
        <f t="shared" ref="C8:R8" si="0">C9+C102+C117+C122+C121</f>
        <v>2497166.622374</v>
      </c>
      <c r="D8" s="190">
        <f t="shared" si="0"/>
        <v>501206.37400000001</v>
      </c>
      <c r="E8" s="190">
        <f t="shared" si="0"/>
        <v>24616.422999999999</v>
      </c>
      <c r="F8" s="190">
        <f t="shared" si="0"/>
        <v>56308.931599999996</v>
      </c>
      <c r="G8" s="190">
        <f t="shared" si="0"/>
        <v>7684.25</v>
      </c>
      <c r="H8" s="190">
        <f t="shared" si="0"/>
        <v>654277.12901000003</v>
      </c>
      <c r="I8" s="190">
        <f t="shared" si="0"/>
        <v>30941.8</v>
      </c>
      <c r="J8" s="190">
        <f t="shared" si="0"/>
        <v>9500</v>
      </c>
      <c r="K8" s="190">
        <f t="shared" si="0"/>
        <v>17625</v>
      </c>
      <c r="L8" s="190">
        <f t="shared" si="0"/>
        <v>50917.123</v>
      </c>
      <c r="M8" s="190">
        <f t="shared" si="0"/>
        <v>613585.56499999994</v>
      </c>
      <c r="N8" s="190">
        <f t="shared" si="0"/>
        <v>81456</v>
      </c>
      <c r="O8" s="190">
        <f t="shared" si="0"/>
        <v>371832.07</v>
      </c>
      <c r="P8" s="190">
        <f t="shared" si="0"/>
        <v>423786.39676399995</v>
      </c>
      <c r="Q8" s="190">
        <f t="shared" si="0"/>
        <v>43356</v>
      </c>
      <c r="R8" s="190">
        <f t="shared" si="0"/>
        <v>63361.630000000005</v>
      </c>
    </row>
    <row r="9" spans="1:30" s="39" customFormat="1" ht="15.75">
      <c r="A9" s="74" t="s">
        <v>83</v>
      </c>
      <c r="B9" s="222" t="e">
        <f>'53-CK NSNN'!#REF!</f>
        <v>#REF!</v>
      </c>
      <c r="C9" s="223">
        <f t="shared" ref="C9:R9" si="1">C10+C11+C14+C22+C25+C29+C33+C36+C39+C40+C41+C45+C46+C53+C69+C80+C92+C93+C94+C98+C99+C101+C100</f>
        <v>1913640.7660000001</v>
      </c>
      <c r="D9" s="223">
        <f>D10+D11+D14+D22+D25+D29+D33+D36+D39+D40+D41+D45+D46+D53+D69+D80+D92+D93+D94+D98+D99+D101+D100</f>
        <v>468184.37400000001</v>
      </c>
      <c r="E9" s="223">
        <f t="shared" si="1"/>
        <v>24616.422999999999</v>
      </c>
      <c r="F9" s="223">
        <f t="shared" si="1"/>
        <v>0</v>
      </c>
      <c r="G9" s="223">
        <f t="shared" si="1"/>
        <v>0</v>
      </c>
      <c r="H9" s="223">
        <f t="shared" si="1"/>
        <v>404220.91000000003</v>
      </c>
      <c r="I9" s="223">
        <f t="shared" si="1"/>
        <v>28256.799999999999</v>
      </c>
      <c r="J9" s="223">
        <f t="shared" si="1"/>
        <v>9500</v>
      </c>
      <c r="K9" s="223">
        <f t="shared" si="1"/>
        <v>17625</v>
      </c>
      <c r="L9" s="223">
        <f t="shared" si="1"/>
        <v>49267.123</v>
      </c>
      <c r="M9" s="223">
        <f t="shared" si="1"/>
        <v>612697.56499999994</v>
      </c>
      <c r="N9" s="223">
        <f t="shared" si="1"/>
        <v>81456</v>
      </c>
      <c r="O9" s="223">
        <f t="shared" si="1"/>
        <v>370944.07</v>
      </c>
      <c r="P9" s="223">
        <f t="shared" si="1"/>
        <v>218071.57099999997</v>
      </c>
      <c r="Q9" s="223">
        <f t="shared" si="1"/>
        <v>43356</v>
      </c>
      <c r="R9" s="223">
        <f t="shared" si="1"/>
        <v>37845</v>
      </c>
      <c r="U9" s="474"/>
      <c r="V9" s="474"/>
      <c r="W9" s="474"/>
      <c r="X9" s="474"/>
      <c r="Y9" s="474"/>
      <c r="Z9" s="474"/>
      <c r="AA9" s="474"/>
      <c r="AB9" s="474"/>
    </row>
    <row r="10" spans="1:30" s="39" customFormat="1" ht="15.75">
      <c r="A10" s="76" t="e">
        <f>'53-CK NSNN'!#REF!</f>
        <v>#REF!</v>
      </c>
      <c r="B10" s="221" t="e">
        <f>'53-CK NSNN'!#REF!</f>
        <v>#REF!</v>
      </c>
      <c r="C10" s="191">
        <f t="shared" ref="C10:C116" si="2">D10+E10+F10+G10+H10+I10+J10+K10+L10+M10+P10+Q10+R10</f>
        <v>9295.36</v>
      </c>
      <c r="D10" s="191">
        <v>50</v>
      </c>
      <c r="E10" s="191"/>
      <c r="F10" s="191"/>
      <c r="G10" s="191"/>
      <c r="H10" s="191"/>
      <c r="I10" s="191"/>
      <c r="J10" s="191"/>
      <c r="K10" s="191"/>
      <c r="L10" s="191"/>
      <c r="M10" s="191"/>
      <c r="N10" s="191"/>
      <c r="O10" s="191"/>
      <c r="P10" s="191">
        <v>9245.36</v>
      </c>
      <c r="Q10" s="191"/>
      <c r="R10" s="191"/>
      <c r="S10" s="438"/>
      <c r="U10" s="474">
        <v>9430</v>
      </c>
      <c r="V10" s="474"/>
      <c r="W10" s="474"/>
      <c r="X10" s="474"/>
      <c r="Y10" s="474"/>
      <c r="Z10" s="474"/>
      <c r="AA10" s="474"/>
      <c r="AB10" s="474"/>
    </row>
    <row r="11" spans="1:30" s="39" customFormat="1" ht="15.75">
      <c r="A11" s="76" t="e">
        <f>'53-CK NSNN'!#REF!</f>
        <v>#REF!</v>
      </c>
      <c r="B11" s="221" t="e">
        <f>'53-CK NSNN'!#REF!</f>
        <v>#REF!</v>
      </c>
      <c r="C11" s="191">
        <f t="shared" si="2"/>
        <v>15217.6</v>
      </c>
      <c r="D11" s="191">
        <f>SUM(D12:D13)</f>
        <v>250</v>
      </c>
      <c r="E11" s="191">
        <f t="shared" ref="E11:R11" si="3">SUM(E12:E13)</f>
        <v>0</v>
      </c>
      <c r="F11" s="191">
        <f t="shared" si="3"/>
        <v>0</v>
      </c>
      <c r="G11" s="191">
        <f t="shared" si="3"/>
        <v>0</v>
      </c>
      <c r="H11" s="191">
        <f t="shared" si="3"/>
        <v>0</v>
      </c>
      <c r="I11" s="191">
        <f t="shared" si="3"/>
        <v>0</v>
      </c>
      <c r="J11" s="191">
        <f t="shared" si="3"/>
        <v>0</v>
      </c>
      <c r="K11" s="191">
        <f t="shared" si="3"/>
        <v>0</v>
      </c>
      <c r="L11" s="191">
        <f t="shared" si="3"/>
        <v>0</v>
      </c>
      <c r="M11" s="191">
        <f t="shared" si="3"/>
        <v>1090</v>
      </c>
      <c r="N11" s="191">
        <f t="shared" si="3"/>
        <v>0</v>
      </c>
      <c r="O11" s="191">
        <f t="shared" si="3"/>
        <v>0</v>
      </c>
      <c r="P11" s="191">
        <f t="shared" si="3"/>
        <v>13877.6</v>
      </c>
      <c r="Q11" s="191">
        <f t="shared" si="3"/>
        <v>0</v>
      </c>
      <c r="R11" s="191">
        <f t="shared" si="3"/>
        <v>0</v>
      </c>
      <c r="U11" s="474"/>
      <c r="V11" s="474"/>
      <c r="W11" s="474"/>
      <c r="X11" s="474"/>
      <c r="Y11" s="474"/>
      <c r="Z11" s="474"/>
      <c r="AA11" s="474"/>
      <c r="AB11" s="474"/>
    </row>
    <row r="12" spans="1:30" s="187" customFormat="1" ht="15.75">
      <c r="A12" s="423" t="e">
        <f>'53-CK NSNN'!#REF!</f>
        <v>#REF!</v>
      </c>
      <c r="B12" s="424" t="e">
        <f>'53-CK NSNN'!#REF!</f>
        <v>#REF!</v>
      </c>
      <c r="C12" s="425">
        <f t="shared" si="2"/>
        <v>14127.6</v>
      </c>
      <c r="D12" s="425">
        <v>250</v>
      </c>
      <c r="E12" s="425"/>
      <c r="F12" s="425"/>
      <c r="G12" s="425"/>
      <c r="H12" s="425"/>
      <c r="I12" s="425"/>
      <c r="J12" s="425"/>
      <c r="K12" s="425"/>
      <c r="L12" s="425"/>
      <c r="M12" s="425"/>
      <c r="N12" s="425"/>
      <c r="O12" s="425"/>
      <c r="P12" s="425">
        <v>13877.6</v>
      </c>
      <c r="Q12" s="425"/>
      <c r="R12" s="425"/>
      <c r="U12" s="476"/>
      <c r="V12" s="476"/>
      <c r="W12" s="476"/>
      <c r="X12" s="476"/>
      <c r="Y12" s="476"/>
      <c r="Z12" s="476">
        <v>20</v>
      </c>
      <c r="AA12" s="476"/>
      <c r="AB12" s="476"/>
    </row>
    <row r="13" spans="1:30" s="187" customFormat="1" ht="31.5">
      <c r="A13" s="423">
        <f>'53-CK NSNN'!A11</f>
        <v>1</v>
      </c>
      <c r="B13" s="424" t="str">
        <f>'53-CK NSNN'!B11</f>
        <v>Văn phòng Hội đồng nhân dân tỉnh</v>
      </c>
      <c r="C13" s="425">
        <f t="shared" si="2"/>
        <v>1090</v>
      </c>
      <c r="D13" s="425"/>
      <c r="E13" s="425"/>
      <c r="F13" s="425"/>
      <c r="G13" s="425"/>
      <c r="H13" s="425"/>
      <c r="I13" s="425"/>
      <c r="J13" s="425"/>
      <c r="K13" s="425"/>
      <c r="L13" s="425"/>
      <c r="M13" s="425">
        <v>1090</v>
      </c>
      <c r="N13" s="425"/>
      <c r="O13" s="425"/>
      <c r="P13" s="425"/>
      <c r="Q13" s="425"/>
      <c r="R13" s="425"/>
      <c r="U13" s="476"/>
      <c r="V13" s="476"/>
      <c r="W13" s="476"/>
      <c r="X13" s="476"/>
      <c r="Y13" s="476"/>
      <c r="Z13" s="476"/>
      <c r="AA13" s="476"/>
      <c r="AB13" s="476"/>
    </row>
    <row r="14" spans="1:30" s="39" customFormat="1" ht="15.75">
      <c r="A14" s="76">
        <f>'53-CK NSNN'!A12</f>
        <v>2</v>
      </c>
      <c r="B14" s="221" t="str">
        <f>'53-CK NSNN'!B12</f>
        <v>Văn phòng UBND tỉnh</v>
      </c>
      <c r="C14" s="191">
        <f t="shared" si="2"/>
        <v>405434.56599999999</v>
      </c>
      <c r="D14" s="191">
        <f t="shared" ref="D14:R14" si="4">SUM(D15:D21)</f>
        <v>480</v>
      </c>
      <c r="E14" s="191">
        <f t="shared" si="4"/>
        <v>0</v>
      </c>
      <c r="F14" s="191">
        <f t="shared" si="4"/>
        <v>0</v>
      </c>
      <c r="G14" s="191">
        <f t="shared" si="4"/>
        <v>0</v>
      </c>
      <c r="H14" s="191">
        <f t="shared" si="4"/>
        <v>0</v>
      </c>
      <c r="I14" s="191">
        <f t="shared" si="4"/>
        <v>0</v>
      </c>
      <c r="J14" s="191">
        <f t="shared" si="4"/>
        <v>0</v>
      </c>
      <c r="K14" s="191">
        <f t="shared" si="4"/>
        <v>0</v>
      </c>
      <c r="L14" s="191">
        <f t="shared" si="4"/>
        <v>6900.24</v>
      </c>
      <c r="M14" s="191">
        <f t="shared" si="4"/>
        <v>370944.07</v>
      </c>
      <c r="N14" s="191">
        <f t="shared" si="4"/>
        <v>0</v>
      </c>
      <c r="O14" s="191">
        <f t="shared" si="4"/>
        <v>370944.07</v>
      </c>
      <c r="P14" s="191">
        <f t="shared" si="4"/>
        <v>27110.256000000001</v>
      </c>
      <c r="Q14" s="191">
        <f t="shared" si="4"/>
        <v>0</v>
      </c>
      <c r="R14" s="191">
        <f t="shared" si="4"/>
        <v>0</v>
      </c>
      <c r="U14" s="474"/>
      <c r="V14" s="474"/>
      <c r="W14" s="474"/>
      <c r="X14" s="474"/>
      <c r="Y14" s="474"/>
      <c r="Z14" s="474"/>
      <c r="AA14" s="474"/>
      <c r="AB14" s="474"/>
    </row>
    <row r="15" spans="1:30" s="187" customFormat="1" ht="15.75">
      <c r="A15" s="423">
        <f>'53-CK NSNN'!A13</f>
        <v>3</v>
      </c>
      <c r="B15" s="424" t="str">
        <f>'53-CK NSNN'!B13</f>
        <v>Sở Nông Nghiệp và PTNT</v>
      </c>
      <c r="C15" s="425">
        <f t="shared" si="2"/>
        <v>381693.59899999999</v>
      </c>
      <c r="D15" s="425">
        <v>450</v>
      </c>
      <c r="E15" s="425"/>
      <c r="F15" s="425"/>
      <c r="G15" s="425"/>
      <c r="H15" s="425"/>
      <c r="I15" s="425"/>
      <c r="J15" s="425"/>
      <c r="K15" s="425"/>
      <c r="L15" s="425">
        <f>6900.24-2297.967</f>
        <v>4602.2729999999992</v>
      </c>
      <c r="M15" s="425">
        <f>28701.475+7000+7546+96091.945+Y15+AA15+AB15</f>
        <v>349531.07</v>
      </c>
      <c r="N15" s="425"/>
      <c r="O15" s="425">
        <f>M15</f>
        <v>349531.07</v>
      </c>
      <c r="P15" s="425">
        <f>26569.256+460+U15-V15</f>
        <v>27110.256000000001</v>
      </c>
      <c r="Q15" s="425"/>
      <c r="R15" s="425"/>
      <c r="S15" s="346"/>
      <c r="T15" s="346"/>
      <c r="U15" s="476">
        <v>90</v>
      </c>
      <c r="V15" s="476">
        <v>9</v>
      </c>
      <c r="W15" s="476"/>
      <c r="X15" s="476"/>
      <c r="Y15" s="476">
        <v>10953.65</v>
      </c>
      <c r="Z15" s="476"/>
      <c r="AA15" s="476">
        <f>MIN(104878/9*13,179203)</f>
        <v>151490.44444444444</v>
      </c>
      <c r="AB15" s="476">
        <f>MIN(33056/9*13,70872)</f>
        <v>47747.555555555555</v>
      </c>
    </row>
    <row r="16" spans="1:30" s="187" customFormat="1" ht="15.75">
      <c r="A16" s="423" t="e">
        <f>'53-CK NSNN'!#REF!</f>
        <v>#REF!</v>
      </c>
      <c r="B16" s="424" t="e">
        <f>'53-CK NSNN'!#REF!</f>
        <v>#REF!</v>
      </c>
      <c r="C16" s="425"/>
      <c r="D16" s="425"/>
      <c r="E16" s="425"/>
      <c r="F16" s="425"/>
      <c r="G16" s="425"/>
      <c r="H16" s="425"/>
      <c r="I16" s="425"/>
      <c r="J16" s="425"/>
      <c r="K16" s="425"/>
      <c r="L16" s="425"/>
      <c r="M16" s="425">
        <v>11694</v>
      </c>
      <c r="N16" s="425"/>
      <c r="O16" s="425">
        <f t="shared" ref="O16:O21" si="5">M16</f>
        <v>11694</v>
      </c>
      <c r="P16" s="425"/>
      <c r="Q16" s="425"/>
      <c r="R16" s="425"/>
      <c r="U16" s="476"/>
      <c r="V16" s="476"/>
      <c r="W16" s="476"/>
      <c r="X16" s="476"/>
      <c r="Y16" s="476"/>
      <c r="Z16" s="476"/>
      <c r="AA16" s="476">
        <f>179203-AA15</f>
        <v>27712.555555555562</v>
      </c>
      <c r="AB16" s="476">
        <f>70872-AB15</f>
        <v>23124.444444444445</v>
      </c>
    </row>
    <row r="17" spans="1:28" s="187" customFormat="1" ht="15.75">
      <c r="A17" s="423" t="e">
        <f>'53-CK NSNN'!#REF!</f>
        <v>#REF!</v>
      </c>
      <c r="B17" s="424" t="e">
        <f>'53-CK NSNN'!#REF!</f>
        <v>#REF!</v>
      </c>
      <c r="C17" s="425"/>
      <c r="D17" s="425"/>
      <c r="E17" s="425"/>
      <c r="F17" s="425"/>
      <c r="G17" s="425"/>
      <c r="H17" s="425"/>
      <c r="I17" s="425"/>
      <c r="J17" s="425"/>
      <c r="K17" s="425"/>
      <c r="L17" s="425"/>
      <c r="M17" s="425">
        <v>1238</v>
      </c>
      <c r="N17" s="425"/>
      <c r="O17" s="425">
        <f t="shared" si="5"/>
        <v>1238</v>
      </c>
      <c r="P17" s="425"/>
      <c r="Q17" s="425"/>
      <c r="R17" s="425"/>
      <c r="U17" s="476"/>
      <c r="V17" s="476"/>
      <c r="W17" s="476"/>
      <c r="X17" s="476"/>
      <c r="Y17" s="476"/>
      <c r="Z17" s="476"/>
      <c r="AA17" s="476"/>
      <c r="AB17" s="476"/>
    </row>
    <row r="18" spans="1:28" s="187" customFormat="1" ht="15.75">
      <c r="A18" s="423" t="e">
        <f>'53-CK NSNN'!#REF!</f>
        <v>#REF!</v>
      </c>
      <c r="B18" s="424" t="e">
        <f>'53-CK NSNN'!#REF!</f>
        <v>#REF!</v>
      </c>
      <c r="C18" s="425"/>
      <c r="D18" s="436">
        <v>30</v>
      </c>
      <c r="E18" s="425"/>
      <c r="F18" s="425"/>
      <c r="G18" s="425" t="s">
        <v>1312</v>
      </c>
      <c r="H18" s="425"/>
      <c r="I18" s="425"/>
      <c r="J18" s="425"/>
      <c r="K18" s="425"/>
      <c r="L18" s="425">
        <v>2297.9670000000001</v>
      </c>
      <c r="M18" s="425">
        <f>2699-D18</f>
        <v>2669</v>
      </c>
      <c r="N18" s="425"/>
      <c r="O18" s="425">
        <f t="shared" si="5"/>
        <v>2669</v>
      </c>
      <c r="P18" s="425"/>
      <c r="Q18" s="425"/>
      <c r="R18" s="425"/>
      <c r="U18" s="476"/>
      <c r="V18" s="476"/>
      <c r="W18" s="476"/>
      <c r="X18" s="476"/>
      <c r="Y18" s="476"/>
      <c r="Z18" s="476"/>
      <c r="AA18" s="476"/>
      <c r="AB18" s="476"/>
    </row>
    <row r="19" spans="1:28" s="187" customFormat="1" ht="15.75">
      <c r="A19" s="423" t="e">
        <f>'53-CK NSNN'!#REF!</f>
        <v>#REF!</v>
      </c>
      <c r="B19" s="424" t="e">
        <f>'53-CK NSNN'!#REF!</f>
        <v>#REF!</v>
      </c>
      <c r="C19" s="425"/>
      <c r="D19" s="425"/>
      <c r="E19" s="425"/>
      <c r="F19" s="425"/>
      <c r="G19" s="425"/>
      <c r="H19" s="425"/>
      <c r="I19" s="425"/>
      <c r="J19" s="425"/>
      <c r="K19" s="425"/>
      <c r="L19" s="425"/>
      <c r="M19" s="425">
        <v>4745</v>
      </c>
      <c r="N19" s="425"/>
      <c r="O19" s="425">
        <f t="shared" si="5"/>
        <v>4745</v>
      </c>
      <c r="P19" s="425"/>
      <c r="Q19" s="425"/>
      <c r="R19" s="425"/>
      <c r="U19" s="476"/>
      <c r="V19" s="476"/>
      <c r="W19" s="476"/>
      <c r="X19" s="476"/>
      <c r="Y19" s="476"/>
      <c r="Z19" s="476"/>
      <c r="AA19" s="476"/>
      <c r="AB19" s="476"/>
    </row>
    <row r="20" spans="1:28" s="187" customFormat="1" ht="15.75">
      <c r="A20" s="423" t="e">
        <f>'53-CK NSNN'!#REF!</f>
        <v>#REF!</v>
      </c>
      <c r="B20" s="424" t="e">
        <f>'53-CK NSNN'!#REF!</f>
        <v>#REF!</v>
      </c>
      <c r="C20" s="425"/>
      <c r="D20" s="425"/>
      <c r="E20" s="425"/>
      <c r="F20" s="425"/>
      <c r="G20" s="425"/>
      <c r="H20" s="425"/>
      <c r="I20" s="425"/>
      <c r="J20" s="425"/>
      <c r="K20" s="425"/>
      <c r="L20" s="425"/>
      <c r="M20" s="425"/>
      <c r="N20" s="425"/>
      <c r="O20" s="425">
        <f t="shared" si="5"/>
        <v>0</v>
      </c>
      <c r="P20" s="425"/>
      <c r="Q20" s="425"/>
      <c r="R20" s="425"/>
      <c r="U20" s="476"/>
      <c r="V20" s="476"/>
      <c r="W20" s="476"/>
      <c r="X20" s="476"/>
      <c r="Y20" s="476"/>
      <c r="Z20" s="476"/>
      <c r="AA20" s="476"/>
      <c r="AB20" s="476"/>
    </row>
    <row r="21" spans="1:28" s="187" customFormat="1" ht="15.75">
      <c r="A21" s="423" t="e">
        <f>'53-CK NSNN'!#REF!</f>
        <v>#REF!</v>
      </c>
      <c r="B21" s="424" t="e">
        <f>'53-CK NSNN'!#REF!</f>
        <v>#REF!</v>
      </c>
      <c r="C21" s="425">
        <f t="shared" si="2"/>
        <v>1067</v>
      </c>
      <c r="D21" s="425"/>
      <c r="E21" s="425"/>
      <c r="F21" s="425"/>
      <c r="G21" s="425"/>
      <c r="H21" s="425"/>
      <c r="I21" s="425"/>
      <c r="J21" s="425"/>
      <c r="K21" s="425"/>
      <c r="L21" s="425"/>
      <c r="M21" s="425">
        <v>1067</v>
      </c>
      <c r="N21" s="425"/>
      <c r="O21" s="425">
        <f t="shared" si="5"/>
        <v>1067</v>
      </c>
      <c r="P21" s="425"/>
      <c r="Q21" s="425"/>
      <c r="R21" s="425"/>
      <c r="U21" s="476"/>
      <c r="V21" s="476"/>
      <c r="W21" s="476"/>
      <c r="X21" s="476"/>
      <c r="Y21" s="476"/>
      <c r="Z21" s="476"/>
      <c r="AA21" s="476"/>
      <c r="AB21" s="476"/>
    </row>
    <row r="22" spans="1:28" s="39" customFormat="1" ht="15.75">
      <c r="A22" s="76" t="e">
        <f>'53-CK NSNN'!#REF!</f>
        <v>#REF!</v>
      </c>
      <c r="B22" s="221" t="e">
        <f>'53-CK NSNN'!#REF!</f>
        <v>#REF!</v>
      </c>
      <c r="C22" s="191">
        <f t="shared" si="2"/>
        <v>8156.9719999999998</v>
      </c>
      <c r="D22" s="191">
        <f>SUM(D23:D24)</f>
        <v>80</v>
      </c>
      <c r="E22" s="191">
        <f t="shared" ref="E22:R22" si="6">SUM(E23:E24)</f>
        <v>0</v>
      </c>
      <c r="F22" s="191">
        <f t="shared" si="6"/>
        <v>0</v>
      </c>
      <c r="G22" s="191">
        <f t="shared" si="6"/>
        <v>0</v>
      </c>
      <c r="H22" s="191">
        <f t="shared" si="6"/>
        <v>0</v>
      </c>
      <c r="I22" s="191">
        <f t="shared" si="6"/>
        <v>0</v>
      </c>
      <c r="J22" s="191">
        <f t="shared" si="6"/>
        <v>0</v>
      </c>
      <c r="K22" s="191">
        <f t="shared" si="6"/>
        <v>0</v>
      </c>
      <c r="L22" s="191">
        <f t="shared" si="6"/>
        <v>0</v>
      </c>
      <c r="M22" s="191">
        <f t="shared" si="6"/>
        <v>2718.7719999999999</v>
      </c>
      <c r="N22" s="191">
        <f t="shared" si="6"/>
        <v>0</v>
      </c>
      <c r="O22" s="191">
        <f t="shared" si="6"/>
        <v>0</v>
      </c>
      <c r="P22" s="191">
        <f t="shared" si="6"/>
        <v>5358.2</v>
      </c>
      <c r="Q22" s="191">
        <f t="shared" si="6"/>
        <v>0</v>
      </c>
      <c r="R22" s="191">
        <f t="shared" si="6"/>
        <v>0</v>
      </c>
      <c r="U22" s="474"/>
      <c r="V22" s="474"/>
      <c r="W22" s="474"/>
      <c r="X22" s="474"/>
      <c r="Y22" s="474"/>
      <c r="Z22" s="474"/>
      <c r="AA22" s="474"/>
      <c r="AB22" s="474"/>
    </row>
    <row r="23" spans="1:28" s="187" customFormat="1" ht="15.75">
      <c r="A23" s="423">
        <f>'53-CK NSNN'!A14</f>
        <v>4</v>
      </c>
      <c r="B23" s="424" t="str">
        <f>'53-CK NSNN'!B14</f>
        <v>Sở Kế hoạch và Đầu tư</v>
      </c>
      <c r="C23" s="425">
        <f t="shared" si="2"/>
        <v>7358.9719999999998</v>
      </c>
      <c r="D23" s="425">
        <v>80</v>
      </c>
      <c r="E23" s="425"/>
      <c r="F23" s="425"/>
      <c r="G23" s="425"/>
      <c r="H23" s="425"/>
      <c r="I23" s="425"/>
      <c r="J23" s="425"/>
      <c r="K23" s="425"/>
      <c r="L23" s="425"/>
      <c r="M23" s="425">
        <v>1920.7719999999999</v>
      </c>
      <c r="N23" s="425"/>
      <c r="O23" s="425"/>
      <c r="P23" s="425">
        <f>5318.2+40</f>
        <v>5358.2</v>
      </c>
      <c r="Q23" s="425"/>
      <c r="R23" s="425"/>
      <c r="S23" s="346"/>
      <c r="T23" s="346"/>
      <c r="U23" s="476"/>
      <c r="V23" s="476"/>
      <c r="W23" s="476"/>
      <c r="X23" s="476"/>
      <c r="Y23" s="476"/>
      <c r="Z23" s="476"/>
      <c r="AA23" s="476"/>
      <c r="AB23" s="476"/>
    </row>
    <row r="24" spans="1:28" s="187" customFormat="1" ht="15.75">
      <c r="A24" s="423">
        <f>'53-CK NSNN'!A15</f>
        <v>5</v>
      </c>
      <c r="B24" s="424" t="str">
        <f>'53-CK NSNN'!B15</f>
        <v>Sở Tư pháp</v>
      </c>
      <c r="C24" s="425">
        <f t="shared" si="2"/>
        <v>798</v>
      </c>
      <c r="D24" s="425"/>
      <c r="E24" s="425"/>
      <c r="F24" s="425"/>
      <c r="G24" s="425"/>
      <c r="H24" s="426"/>
      <c r="I24" s="425"/>
      <c r="J24" s="425"/>
      <c r="K24" s="425"/>
      <c r="L24" s="425"/>
      <c r="M24" s="425">
        <v>798</v>
      </c>
      <c r="N24" s="425"/>
      <c r="O24" s="425"/>
      <c r="P24" s="425"/>
      <c r="Q24" s="425"/>
      <c r="R24" s="425"/>
      <c r="U24" s="476"/>
      <c r="V24" s="476"/>
      <c r="W24" s="476"/>
      <c r="X24" s="476"/>
      <c r="Y24" s="476"/>
      <c r="Z24" s="476"/>
      <c r="AA24" s="476"/>
      <c r="AB24" s="476"/>
    </row>
    <row r="25" spans="1:28" s="39" customFormat="1" ht="15.75">
      <c r="A25" s="76">
        <f>'53-CK NSNN'!A16</f>
        <v>6</v>
      </c>
      <c r="B25" s="221" t="str">
        <f>'53-CK NSNN'!B16</f>
        <v>Sở Công thương</v>
      </c>
      <c r="C25" s="191">
        <f t="shared" si="2"/>
        <v>9164.2000000000007</v>
      </c>
      <c r="D25" s="191">
        <f>SUM(D26:D28)</f>
        <v>80</v>
      </c>
      <c r="E25" s="191">
        <f t="shared" ref="E25:R25" si="7">SUM(E26:E28)</f>
        <v>0</v>
      </c>
      <c r="F25" s="191">
        <f t="shared" si="7"/>
        <v>0</v>
      </c>
      <c r="G25" s="191">
        <f t="shared" si="7"/>
        <v>0</v>
      </c>
      <c r="H25" s="191">
        <f t="shared" si="7"/>
        <v>0</v>
      </c>
      <c r="I25" s="191">
        <f t="shared" si="7"/>
        <v>0</v>
      </c>
      <c r="J25" s="191">
        <f t="shared" si="7"/>
        <v>0</v>
      </c>
      <c r="K25" s="191">
        <f t="shared" si="7"/>
        <v>0</v>
      </c>
      <c r="L25" s="191">
        <f t="shared" si="7"/>
        <v>0</v>
      </c>
      <c r="M25" s="191">
        <f t="shared" si="7"/>
        <v>2478</v>
      </c>
      <c r="N25" s="191">
        <f t="shared" si="7"/>
        <v>0</v>
      </c>
      <c r="O25" s="191">
        <f t="shared" si="7"/>
        <v>0</v>
      </c>
      <c r="P25" s="191">
        <f t="shared" si="7"/>
        <v>6606.2</v>
      </c>
      <c r="Q25" s="191">
        <f t="shared" si="7"/>
        <v>0</v>
      </c>
      <c r="R25" s="191">
        <f t="shared" si="7"/>
        <v>0</v>
      </c>
      <c r="U25" s="474"/>
      <c r="V25" s="474"/>
      <c r="W25" s="474"/>
      <c r="X25" s="474"/>
      <c r="Y25" s="474"/>
      <c r="Z25" s="474"/>
      <c r="AA25" s="474"/>
      <c r="AB25" s="474"/>
    </row>
    <row r="26" spans="1:28" s="187" customFormat="1" ht="15.75">
      <c r="A26" s="423" t="e">
        <f>'53-CK NSNN'!#REF!</f>
        <v>#REF!</v>
      </c>
      <c r="B26" s="424" t="e">
        <f>'53-CK NSNN'!#REF!</f>
        <v>#REF!</v>
      </c>
      <c r="C26" s="425">
        <f t="shared" si="2"/>
        <v>6676.2</v>
      </c>
      <c r="D26" s="425">
        <v>70</v>
      </c>
      <c r="E26" s="425"/>
      <c r="F26" s="425"/>
      <c r="G26" s="425"/>
      <c r="H26" s="425"/>
      <c r="I26" s="425"/>
      <c r="J26" s="425"/>
      <c r="K26" s="425"/>
      <c r="L26" s="425"/>
      <c r="M26" s="425"/>
      <c r="N26" s="425"/>
      <c r="O26" s="425"/>
      <c r="P26" s="425">
        <v>6606.2</v>
      </c>
      <c r="Q26" s="425"/>
      <c r="R26" s="425"/>
      <c r="U26" s="476"/>
      <c r="V26" s="476"/>
      <c r="W26" s="476"/>
      <c r="X26" s="476"/>
      <c r="Y26" s="476"/>
      <c r="Z26" s="476"/>
      <c r="AA26" s="476"/>
      <c r="AB26" s="476"/>
    </row>
    <row r="27" spans="1:28" s="187" customFormat="1" ht="15.75">
      <c r="A27" s="423" t="e">
        <f>'53-CK NSNN'!#REF!</f>
        <v>#REF!</v>
      </c>
      <c r="B27" s="424" t="e">
        <f>'53-CK NSNN'!#REF!</f>
        <v>#REF!</v>
      </c>
      <c r="C27" s="425">
        <f t="shared" si="2"/>
        <v>610</v>
      </c>
      <c r="D27" s="436">
        <v>5</v>
      </c>
      <c r="E27" s="425"/>
      <c r="F27" s="425"/>
      <c r="G27" s="425"/>
      <c r="H27" s="425"/>
      <c r="I27" s="425"/>
      <c r="J27" s="425"/>
      <c r="K27" s="425"/>
      <c r="L27" s="425"/>
      <c r="M27" s="425">
        <f>610-D27</f>
        <v>605</v>
      </c>
      <c r="N27" s="425"/>
      <c r="O27" s="425"/>
      <c r="P27" s="425"/>
      <c r="Q27" s="425"/>
      <c r="R27" s="425"/>
      <c r="U27" s="476"/>
      <c r="V27" s="476"/>
      <c r="W27" s="476"/>
      <c r="X27" s="476"/>
      <c r="Y27" s="476"/>
      <c r="Z27" s="476"/>
      <c r="AA27" s="476"/>
      <c r="AB27" s="476"/>
    </row>
    <row r="28" spans="1:28" s="187" customFormat="1" ht="15.75">
      <c r="A28" s="423">
        <f>'53-CK NSNN'!A17</f>
        <v>7</v>
      </c>
      <c r="B28" s="424" t="str">
        <f>'53-CK NSNN'!B17</f>
        <v>Ban Quản lý khu kinh tế</v>
      </c>
      <c r="C28" s="425">
        <f t="shared" si="2"/>
        <v>1878</v>
      </c>
      <c r="D28" s="436">
        <v>5</v>
      </c>
      <c r="E28" s="425"/>
      <c r="F28" s="425"/>
      <c r="G28" s="425"/>
      <c r="H28" s="425"/>
      <c r="I28" s="425"/>
      <c r="J28" s="425"/>
      <c r="K28" s="425"/>
      <c r="L28" s="425"/>
      <c r="M28" s="425">
        <f>1878-D28</f>
        <v>1873</v>
      </c>
      <c r="N28" s="425"/>
      <c r="O28" s="425"/>
      <c r="P28" s="425"/>
      <c r="Q28" s="425"/>
      <c r="R28" s="425"/>
      <c r="U28" s="476"/>
      <c r="V28" s="476"/>
      <c r="W28" s="476"/>
      <c r="X28" s="476"/>
      <c r="Y28" s="476"/>
      <c r="Z28" s="476"/>
      <c r="AA28" s="476"/>
      <c r="AB28" s="476"/>
    </row>
    <row r="29" spans="1:28" s="39" customFormat="1" ht="15.75">
      <c r="A29" s="76">
        <f>'53-CK NSNN'!A18</f>
        <v>8</v>
      </c>
      <c r="B29" s="221" t="str">
        <f>'53-CK NSNN'!B18</f>
        <v>Sở Khoa học và Công nghệ</v>
      </c>
      <c r="C29" s="191">
        <f t="shared" si="2"/>
        <v>29142.602999999999</v>
      </c>
      <c r="D29" s="191">
        <f>SUM(D30:D32)</f>
        <v>265</v>
      </c>
      <c r="E29" s="191">
        <f t="shared" ref="E29:R29" si="8">SUM(E30:E32)</f>
        <v>0</v>
      </c>
      <c r="F29" s="191">
        <f t="shared" si="8"/>
        <v>0</v>
      </c>
      <c r="G29" s="191">
        <f t="shared" si="8"/>
        <v>0</v>
      </c>
      <c r="H29" s="191">
        <f t="shared" si="8"/>
        <v>0</v>
      </c>
      <c r="I29" s="191">
        <f t="shared" si="8"/>
        <v>0</v>
      </c>
      <c r="J29" s="191">
        <f t="shared" si="8"/>
        <v>0</v>
      </c>
      <c r="K29" s="191">
        <f t="shared" si="8"/>
        <v>0</v>
      </c>
      <c r="L29" s="191">
        <f t="shared" si="8"/>
        <v>1350</v>
      </c>
      <c r="M29" s="191">
        <f>SUM(M30:M32)</f>
        <v>6537</v>
      </c>
      <c r="N29" s="191">
        <f t="shared" si="8"/>
        <v>0</v>
      </c>
      <c r="O29" s="191">
        <f t="shared" si="8"/>
        <v>0</v>
      </c>
      <c r="P29" s="191">
        <f t="shared" si="8"/>
        <v>20990.602999999999</v>
      </c>
      <c r="Q29" s="191">
        <f t="shared" si="8"/>
        <v>0</v>
      </c>
      <c r="R29" s="191">
        <f t="shared" si="8"/>
        <v>0</v>
      </c>
      <c r="U29" s="474"/>
      <c r="V29" s="474"/>
      <c r="W29" s="474"/>
      <c r="X29" s="474"/>
      <c r="Y29" s="474"/>
      <c r="Z29" s="474"/>
      <c r="AA29" s="474"/>
      <c r="AB29" s="474"/>
    </row>
    <row r="30" spans="1:28" s="187" customFormat="1" ht="15.75">
      <c r="A30" s="423" t="e">
        <f>'53-CK NSNN'!#REF!</f>
        <v>#REF!</v>
      </c>
      <c r="B30" s="424" t="e">
        <f>'53-CK NSNN'!#REF!</f>
        <v>#REF!</v>
      </c>
      <c r="C30" s="425">
        <f t="shared" si="2"/>
        <v>26040.602999999999</v>
      </c>
      <c r="D30" s="425">
        <v>200</v>
      </c>
      <c r="E30" s="425"/>
      <c r="F30" s="425"/>
      <c r="G30" s="425"/>
      <c r="H30" s="425"/>
      <c r="I30" s="425"/>
      <c r="J30" s="425"/>
      <c r="K30" s="425"/>
      <c r="L30" s="425">
        <v>1350</v>
      </c>
      <c r="M30" s="425">
        <f>2500+1000</f>
        <v>3500</v>
      </c>
      <c r="N30" s="425"/>
      <c r="O30" s="425"/>
      <c r="P30" s="425">
        <f>19990.603+1000</f>
        <v>20990.602999999999</v>
      </c>
      <c r="Q30" s="425"/>
      <c r="R30" s="425"/>
      <c r="U30" s="476"/>
      <c r="V30" s="476"/>
      <c r="W30" s="476"/>
      <c r="X30" s="476"/>
      <c r="Y30" s="476"/>
      <c r="Z30" s="476"/>
      <c r="AA30" s="476"/>
      <c r="AB30" s="476"/>
    </row>
    <row r="31" spans="1:28" s="187" customFormat="1" ht="15.75">
      <c r="A31" s="423" t="e">
        <f>'53-CK NSNN'!#REF!</f>
        <v>#REF!</v>
      </c>
      <c r="B31" s="424" t="e">
        <f>'53-CK NSNN'!#REF!</f>
        <v>#REF!</v>
      </c>
      <c r="C31" s="425">
        <f t="shared" si="2"/>
        <v>2230</v>
      </c>
      <c r="D31" s="436">
        <v>50</v>
      </c>
      <c r="E31" s="425"/>
      <c r="F31" s="425"/>
      <c r="G31" s="425"/>
      <c r="H31" s="425"/>
      <c r="I31" s="425"/>
      <c r="J31" s="425"/>
      <c r="K31" s="425"/>
      <c r="L31" s="425"/>
      <c r="M31" s="425">
        <f>2230-D31</f>
        <v>2180</v>
      </c>
      <c r="N31" s="425"/>
      <c r="O31" s="425"/>
      <c r="P31" s="425"/>
      <c r="Q31" s="425"/>
      <c r="R31" s="425"/>
      <c r="U31" s="476"/>
      <c r="V31" s="476"/>
      <c r="W31" s="476"/>
      <c r="X31" s="476"/>
      <c r="Y31" s="476"/>
      <c r="Z31" s="476"/>
      <c r="AA31" s="476"/>
      <c r="AB31" s="476"/>
    </row>
    <row r="32" spans="1:28" s="187" customFormat="1" ht="15.75">
      <c r="A32" s="423">
        <f>'53-CK NSNN'!A19</f>
        <v>9</v>
      </c>
      <c r="B32" s="424" t="str">
        <f>'53-CK NSNN'!B19</f>
        <v>Sở Tài chính</v>
      </c>
      <c r="C32" s="425">
        <f t="shared" si="2"/>
        <v>872</v>
      </c>
      <c r="D32" s="436">
        <v>15</v>
      </c>
      <c r="E32" s="425"/>
      <c r="F32" s="425"/>
      <c r="G32" s="425"/>
      <c r="H32" s="425"/>
      <c r="I32" s="425"/>
      <c r="J32" s="425"/>
      <c r="K32" s="425"/>
      <c r="L32" s="425"/>
      <c r="M32" s="425">
        <f>872-D32</f>
        <v>857</v>
      </c>
      <c r="N32" s="425"/>
      <c r="O32" s="425"/>
      <c r="P32" s="425"/>
      <c r="Q32" s="425"/>
      <c r="R32" s="425"/>
      <c r="U32" s="476"/>
      <c r="V32" s="476"/>
      <c r="W32" s="476"/>
      <c r="X32" s="476"/>
      <c r="Y32" s="476"/>
      <c r="Z32" s="476"/>
      <c r="AA32" s="476"/>
      <c r="AB32" s="476"/>
    </row>
    <row r="33" spans="1:28" s="39" customFormat="1" ht="15.75">
      <c r="A33" s="76">
        <f>'53-CK NSNN'!A20</f>
        <v>10</v>
      </c>
      <c r="B33" s="221" t="str">
        <f>'53-CK NSNN'!B20</f>
        <v>Sở Xây dựng</v>
      </c>
      <c r="C33" s="191">
        <f t="shared" si="2"/>
        <v>10595.129000000001</v>
      </c>
      <c r="D33" s="191">
        <f>SUM(D34:D35)</f>
        <v>40</v>
      </c>
      <c r="E33" s="191">
        <f t="shared" ref="E33:R33" si="9">SUM(E34:E35)</f>
        <v>0</v>
      </c>
      <c r="F33" s="191">
        <f t="shared" si="9"/>
        <v>0</v>
      </c>
      <c r="G33" s="191">
        <f t="shared" si="9"/>
        <v>0</v>
      </c>
      <c r="H33" s="191">
        <f t="shared" si="9"/>
        <v>0</v>
      </c>
      <c r="I33" s="191">
        <f t="shared" si="9"/>
        <v>0</v>
      </c>
      <c r="J33" s="191">
        <f t="shared" si="9"/>
        <v>0</v>
      </c>
      <c r="K33" s="191">
        <f t="shared" si="9"/>
        <v>0</v>
      </c>
      <c r="L33" s="191">
        <f t="shared" si="9"/>
        <v>6652.6289999999999</v>
      </c>
      <c r="M33" s="191">
        <f t="shared" si="9"/>
        <v>0</v>
      </c>
      <c r="N33" s="191">
        <f t="shared" si="9"/>
        <v>0</v>
      </c>
      <c r="O33" s="191">
        <f t="shared" si="9"/>
        <v>0</v>
      </c>
      <c r="P33" s="191">
        <f t="shared" si="9"/>
        <v>3902.5</v>
      </c>
      <c r="Q33" s="191">
        <f t="shared" si="9"/>
        <v>0</v>
      </c>
      <c r="R33" s="191">
        <f t="shared" si="9"/>
        <v>0</v>
      </c>
      <c r="U33" s="474"/>
      <c r="V33" s="474"/>
      <c r="W33" s="474"/>
      <c r="X33" s="474"/>
      <c r="Y33" s="474"/>
      <c r="Z33" s="474"/>
      <c r="AA33" s="474"/>
      <c r="AB33" s="474"/>
    </row>
    <row r="34" spans="1:28" s="187" customFormat="1" ht="15.75">
      <c r="A34" s="423" t="e">
        <f>'53-CK NSNN'!#REF!</f>
        <v>#REF!</v>
      </c>
      <c r="B34" s="424" t="e">
        <f>'53-CK NSNN'!#REF!</f>
        <v>#REF!</v>
      </c>
      <c r="C34" s="425">
        <f t="shared" si="2"/>
        <v>10595.129000000001</v>
      </c>
      <c r="D34" s="425">
        <v>40</v>
      </c>
      <c r="E34" s="425"/>
      <c r="F34" s="425"/>
      <c r="G34" s="425"/>
      <c r="H34" s="425"/>
      <c r="I34" s="425"/>
      <c r="J34" s="425"/>
      <c r="K34" s="425"/>
      <c r="L34" s="425">
        <v>6652.6289999999999</v>
      </c>
      <c r="M34" s="425"/>
      <c r="N34" s="425"/>
      <c r="O34" s="425"/>
      <c r="P34" s="425">
        <v>3902.5</v>
      </c>
      <c r="Q34" s="425"/>
      <c r="R34" s="425"/>
      <c r="U34" s="476"/>
      <c r="V34" s="476"/>
      <c r="W34" s="476"/>
      <c r="X34" s="476"/>
      <c r="Y34" s="476"/>
      <c r="Z34" s="476"/>
      <c r="AA34" s="476"/>
      <c r="AB34" s="476"/>
    </row>
    <row r="35" spans="1:28" s="187" customFormat="1" ht="15.75">
      <c r="A35" s="423" t="e">
        <f>'53-CK NSNN'!#REF!</f>
        <v>#REF!</v>
      </c>
      <c r="B35" s="424" t="e">
        <f>'53-CK NSNN'!#REF!</f>
        <v>#REF!</v>
      </c>
      <c r="C35" s="425">
        <f t="shared" si="2"/>
        <v>0</v>
      </c>
      <c r="D35" s="425"/>
      <c r="E35" s="425"/>
      <c r="F35" s="425"/>
      <c r="G35" s="425"/>
      <c r="H35" s="425"/>
      <c r="I35" s="425"/>
      <c r="J35" s="425"/>
      <c r="K35" s="425"/>
      <c r="L35" s="425"/>
      <c r="M35" s="425"/>
      <c r="N35" s="425"/>
      <c r="O35" s="425"/>
      <c r="P35" s="425"/>
      <c r="Q35" s="425"/>
      <c r="R35" s="425"/>
      <c r="U35" s="476"/>
      <c r="V35" s="476"/>
      <c r="W35" s="476"/>
      <c r="X35" s="476"/>
      <c r="Y35" s="476"/>
      <c r="Z35" s="476"/>
      <c r="AA35" s="476"/>
      <c r="AB35" s="476"/>
    </row>
    <row r="36" spans="1:28" s="39" customFormat="1" ht="15.75">
      <c r="A36" s="76" t="e">
        <f>'53-CK NSNN'!#REF!</f>
        <v>#REF!</v>
      </c>
      <c r="B36" s="221" t="e">
        <f>'53-CK NSNN'!#REF!</f>
        <v>#REF!</v>
      </c>
      <c r="C36" s="191">
        <f t="shared" si="2"/>
        <v>31031.235999999997</v>
      </c>
      <c r="D36" s="191">
        <f>+D37+D38</f>
        <v>350</v>
      </c>
      <c r="E36" s="191">
        <f t="shared" ref="E36:R36" si="10">+E37+E38</f>
        <v>24616.422999999999</v>
      </c>
      <c r="F36" s="191">
        <f t="shared" si="10"/>
        <v>0</v>
      </c>
      <c r="G36" s="191">
        <f t="shared" si="10"/>
        <v>0</v>
      </c>
      <c r="H36" s="191">
        <f t="shared" si="10"/>
        <v>0</v>
      </c>
      <c r="I36" s="191">
        <f t="shared" si="10"/>
        <v>0</v>
      </c>
      <c r="J36" s="191">
        <f t="shared" si="10"/>
        <v>0</v>
      </c>
      <c r="K36" s="191">
        <f t="shared" si="10"/>
        <v>0</v>
      </c>
      <c r="L36" s="191">
        <f t="shared" si="10"/>
        <v>0</v>
      </c>
      <c r="M36" s="191">
        <f t="shared" si="10"/>
        <v>340</v>
      </c>
      <c r="N36" s="191">
        <f t="shared" si="10"/>
        <v>0</v>
      </c>
      <c r="O36" s="191">
        <f t="shared" si="10"/>
        <v>0</v>
      </c>
      <c r="P36" s="191">
        <f t="shared" si="10"/>
        <v>5724.8130000000001</v>
      </c>
      <c r="Q36" s="191">
        <f t="shared" si="10"/>
        <v>0</v>
      </c>
      <c r="R36" s="191">
        <f t="shared" si="10"/>
        <v>0</v>
      </c>
      <c r="U36" s="474"/>
      <c r="V36" s="474"/>
      <c r="W36" s="474"/>
      <c r="X36" s="474"/>
      <c r="Y36" s="474"/>
      <c r="Z36" s="474"/>
      <c r="AA36" s="474"/>
      <c r="AB36" s="474"/>
    </row>
    <row r="37" spans="1:28" s="187" customFormat="1" ht="15.75">
      <c r="A37" s="423">
        <f>'53-CK NSNN'!A21</f>
        <v>11</v>
      </c>
      <c r="B37" s="424" t="str">
        <f>'53-CK NSNN'!B21</f>
        <v>Sở Giao thông - Vận tải</v>
      </c>
      <c r="C37" s="425">
        <f t="shared" si="2"/>
        <v>30691.235999999997</v>
      </c>
      <c r="D37" s="425">
        <v>350</v>
      </c>
      <c r="E37" s="425">
        <v>24616.422999999999</v>
      </c>
      <c r="F37" s="425"/>
      <c r="G37" s="425"/>
      <c r="H37" s="425"/>
      <c r="I37" s="425"/>
      <c r="J37" s="425"/>
      <c r="K37" s="425"/>
      <c r="L37" s="425"/>
      <c r="M37" s="425"/>
      <c r="N37" s="425"/>
      <c r="O37" s="425"/>
      <c r="P37" s="425">
        <v>5724.8130000000001</v>
      </c>
      <c r="Q37" s="425"/>
      <c r="R37" s="425"/>
      <c r="U37" s="476"/>
      <c r="V37" s="476"/>
      <c r="W37" s="476"/>
      <c r="X37" s="476"/>
      <c r="Y37" s="476"/>
      <c r="Z37" s="476"/>
      <c r="AA37" s="476"/>
      <c r="AB37" s="476"/>
    </row>
    <row r="38" spans="1:28" s="187" customFormat="1" ht="15.75">
      <c r="A38" s="423" t="e">
        <f>'53-CK NSNN'!#REF!</f>
        <v>#REF!</v>
      </c>
      <c r="B38" s="424" t="e">
        <f>'53-CK NSNN'!#REF!</f>
        <v>#REF!</v>
      </c>
      <c r="C38" s="425">
        <f t="shared" si="2"/>
        <v>340</v>
      </c>
      <c r="D38" s="425"/>
      <c r="E38" s="425"/>
      <c r="F38" s="425"/>
      <c r="G38" s="425"/>
      <c r="H38" s="425"/>
      <c r="I38" s="425"/>
      <c r="J38" s="425"/>
      <c r="K38" s="425"/>
      <c r="L38" s="425"/>
      <c r="M38" s="425">
        <v>340</v>
      </c>
      <c r="N38" s="425"/>
      <c r="O38" s="425"/>
      <c r="P38" s="425"/>
      <c r="Q38" s="425"/>
      <c r="R38" s="425"/>
      <c r="U38" s="476"/>
      <c r="V38" s="476"/>
      <c r="W38" s="476"/>
      <c r="X38" s="476"/>
      <c r="Y38" s="476"/>
      <c r="Z38" s="476"/>
      <c r="AA38" s="476"/>
      <c r="AB38" s="476"/>
    </row>
    <row r="39" spans="1:28" s="39" customFormat="1" ht="15.75">
      <c r="A39" s="76" t="e">
        <f>'53-CK NSNN'!#REF!</f>
        <v>#REF!</v>
      </c>
      <c r="B39" s="221" t="e">
        <f>'53-CK NSNN'!#REF!</f>
        <v>#REF!</v>
      </c>
      <c r="C39" s="191">
        <f t="shared" si="2"/>
        <v>11955.212</v>
      </c>
      <c r="D39" s="191">
        <v>110</v>
      </c>
      <c r="E39" s="191"/>
      <c r="F39" s="191"/>
      <c r="G39" s="191"/>
      <c r="H39" s="191"/>
      <c r="I39" s="191"/>
      <c r="J39" s="191"/>
      <c r="K39" s="191"/>
      <c r="L39" s="191"/>
      <c r="M39" s="191"/>
      <c r="N39" s="191"/>
      <c r="O39" s="191"/>
      <c r="P39" s="191">
        <f>11145.212+X39</f>
        <v>11845.212</v>
      </c>
      <c r="Q39" s="191"/>
      <c r="R39" s="191"/>
      <c r="U39" s="474"/>
      <c r="V39" s="474"/>
      <c r="W39" s="474"/>
      <c r="X39" s="474">
        <v>700</v>
      </c>
      <c r="Y39" s="474"/>
      <c r="Z39" s="474"/>
      <c r="AA39" s="474"/>
      <c r="AB39" s="474"/>
    </row>
    <row r="40" spans="1:28" s="39" customFormat="1" ht="15.75">
      <c r="A40" s="76">
        <f>'53-CK NSNN'!A22</f>
        <v>12</v>
      </c>
      <c r="B40" s="221" t="str">
        <f>'53-CK NSNN'!B22</f>
        <v>Ban An toàn giao thông</v>
      </c>
      <c r="C40" s="191">
        <f t="shared" si="2"/>
        <v>7316.42</v>
      </c>
      <c r="D40" s="191">
        <v>70</v>
      </c>
      <c r="E40" s="191"/>
      <c r="F40" s="191"/>
      <c r="G40" s="191"/>
      <c r="H40" s="191"/>
      <c r="I40" s="191"/>
      <c r="J40" s="191"/>
      <c r="K40" s="191"/>
      <c r="L40" s="191"/>
      <c r="M40" s="191"/>
      <c r="N40" s="191"/>
      <c r="O40" s="191"/>
      <c r="P40" s="191">
        <f>6996.42+250</f>
        <v>7246.42</v>
      </c>
      <c r="Q40" s="191"/>
      <c r="R40" s="191"/>
      <c r="U40" s="474"/>
      <c r="V40" s="474"/>
      <c r="W40" s="474"/>
      <c r="X40" s="474"/>
      <c r="Y40" s="474"/>
      <c r="Z40" s="474"/>
      <c r="AA40" s="474"/>
      <c r="AB40" s="474"/>
    </row>
    <row r="41" spans="1:28" s="39" customFormat="1" ht="15.75">
      <c r="A41" s="76">
        <f>'53-CK NSNN'!A23</f>
        <v>13</v>
      </c>
      <c r="B41" s="221" t="str">
        <f>'53-CK NSNN'!B23</f>
        <v>Sở Giáo dục và Đào tạo</v>
      </c>
      <c r="C41" s="191">
        <f t="shared" si="2"/>
        <v>86428.5</v>
      </c>
      <c r="D41" s="191">
        <f>D42+D43+D44</f>
        <v>180</v>
      </c>
      <c r="E41" s="191">
        <f t="shared" ref="E41:R41" si="11">E42+E43+E44</f>
        <v>0</v>
      </c>
      <c r="F41" s="191">
        <f t="shared" si="11"/>
        <v>0</v>
      </c>
      <c r="G41" s="191">
        <f t="shared" si="11"/>
        <v>0</v>
      </c>
      <c r="H41" s="191">
        <f t="shared" si="11"/>
        <v>0</v>
      </c>
      <c r="I41" s="191">
        <f t="shared" si="11"/>
        <v>0</v>
      </c>
      <c r="J41" s="191">
        <f t="shared" si="11"/>
        <v>0</v>
      </c>
      <c r="K41" s="191">
        <f t="shared" si="11"/>
        <v>0</v>
      </c>
      <c r="L41" s="191">
        <f t="shared" si="11"/>
        <v>0</v>
      </c>
      <c r="M41" s="191">
        <f t="shared" si="11"/>
        <v>73856</v>
      </c>
      <c r="N41" s="191">
        <f t="shared" si="11"/>
        <v>73856</v>
      </c>
      <c r="O41" s="191">
        <f t="shared" si="11"/>
        <v>0</v>
      </c>
      <c r="P41" s="191">
        <f t="shared" si="11"/>
        <v>12392.5</v>
      </c>
      <c r="Q41" s="191">
        <f t="shared" si="11"/>
        <v>0</v>
      </c>
      <c r="R41" s="191">
        <f t="shared" si="11"/>
        <v>0</v>
      </c>
      <c r="U41" s="474"/>
      <c r="V41" s="474"/>
      <c r="W41" s="474"/>
      <c r="X41" s="474"/>
      <c r="Y41" s="474"/>
      <c r="Z41" s="474"/>
      <c r="AA41" s="474"/>
      <c r="AB41" s="474"/>
    </row>
    <row r="42" spans="1:28" s="39" customFormat="1" ht="15.75">
      <c r="A42" s="76">
        <f>'53-CK NSNN'!A24</f>
        <v>14</v>
      </c>
      <c r="B42" s="221" t="str">
        <f>'53-CK NSNN'!B24</f>
        <v>Sở Y tế</v>
      </c>
      <c r="C42" s="421">
        <f t="shared" si="2"/>
        <v>83712.5</v>
      </c>
      <c r="D42" s="421">
        <v>120</v>
      </c>
      <c r="E42" s="421"/>
      <c r="F42" s="421"/>
      <c r="G42" s="421"/>
      <c r="H42" s="421"/>
      <c r="I42" s="421"/>
      <c r="J42" s="421"/>
      <c r="K42" s="421"/>
      <c r="L42" s="421"/>
      <c r="M42" s="421">
        <f>4400-700+67500</f>
        <v>71200</v>
      </c>
      <c r="N42" s="421">
        <f>M42</f>
        <v>71200</v>
      </c>
      <c r="O42" s="421"/>
      <c r="P42" s="421">
        <v>12392.5</v>
      </c>
      <c r="Q42" s="421"/>
      <c r="R42" s="421"/>
      <c r="U42" s="474"/>
      <c r="V42" s="474"/>
      <c r="W42" s="474"/>
      <c r="X42" s="474"/>
      <c r="Y42" s="474"/>
      <c r="Z42" s="474"/>
      <c r="AA42" s="474"/>
      <c r="AB42" s="474"/>
    </row>
    <row r="43" spans="1:28" s="39" customFormat="1" ht="15.75">
      <c r="A43" s="76" t="e">
        <f>'53-CK NSNN'!#REF!</f>
        <v>#REF!</v>
      </c>
      <c r="B43" s="221" t="e">
        <f>'53-CK NSNN'!#REF!</f>
        <v>#REF!</v>
      </c>
      <c r="C43" s="421">
        <f t="shared" si="2"/>
        <v>1022</v>
      </c>
      <c r="D43" s="437">
        <v>30</v>
      </c>
      <c r="E43" s="421"/>
      <c r="F43" s="421"/>
      <c r="G43" s="421"/>
      <c r="H43" s="421"/>
      <c r="I43" s="421"/>
      <c r="J43" s="421"/>
      <c r="K43" s="421"/>
      <c r="L43" s="421"/>
      <c r="M43" s="421">
        <f>1022-D43</f>
        <v>992</v>
      </c>
      <c r="N43" s="421">
        <f>+M43</f>
        <v>992</v>
      </c>
      <c r="O43" s="421"/>
      <c r="P43" s="421"/>
      <c r="Q43" s="421"/>
      <c r="R43" s="421"/>
      <c r="U43" s="474"/>
      <c r="V43" s="474"/>
      <c r="W43" s="474"/>
      <c r="X43" s="474"/>
      <c r="Y43" s="474"/>
      <c r="Z43" s="474"/>
      <c r="AA43" s="474"/>
      <c r="AB43" s="474"/>
    </row>
    <row r="44" spans="1:28" s="39" customFormat="1" ht="15.75">
      <c r="A44" s="76" t="e">
        <f>'53-CK NSNN'!#REF!</f>
        <v>#REF!</v>
      </c>
      <c r="B44" s="221" t="e">
        <f>'53-CK NSNN'!#REF!</f>
        <v>#REF!</v>
      </c>
      <c r="C44" s="421">
        <f t="shared" si="2"/>
        <v>1694</v>
      </c>
      <c r="D44" s="437">
        <v>30</v>
      </c>
      <c r="E44" s="421"/>
      <c r="F44" s="421"/>
      <c r="G44" s="421"/>
      <c r="H44" s="421"/>
      <c r="I44" s="421"/>
      <c r="J44" s="421"/>
      <c r="K44" s="421"/>
      <c r="L44" s="421"/>
      <c r="M44" s="421">
        <f>700+994-D44</f>
        <v>1664</v>
      </c>
      <c r="N44" s="421">
        <f>+M44</f>
        <v>1664</v>
      </c>
      <c r="O44" s="421"/>
      <c r="P44" s="421"/>
      <c r="Q44" s="421"/>
      <c r="R44" s="421"/>
      <c r="U44" s="474"/>
      <c r="V44" s="474"/>
      <c r="W44" s="474"/>
      <c r="X44" s="474"/>
      <c r="Y44" s="474"/>
      <c r="Z44" s="474"/>
      <c r="AA44" s="474"/>
      <c r="AB44" s="474"/>
    </row>
    <row r="45" spans="1:28" s="39" customFormat="1" ht="15.75">
      <c r="A45" s="76" t="e">
        <f>'53-CK NSNN'!#REF!</f>
        <v>#REF!</v>
      </c>
      <c r="B45" s="221" t="e">
        <f>'53-CK NSNN'!#REF!</f>
        <v>#REF!</v>
      </c>
      <c r="C45" s="191">
        <f t="shared" si="2"/>
        <v>8973</v>
      </c>
      <c r="D45" s="191">
        <v>15</v>
      </c>
      <c r="E45" s="191"/>
      <c r="F45" s="191"/>
      <c r="G45" s="191"/>
      <c r="H45" s="191"/>
      <c r="I45" s="191"/>
      <c r="J45" s="191"/>
      <c r="K45" s="191"/>
      <c r="L45" s="191"/>
      <c r="M45" s="191">
        <v>7600</v>
      </c>
      <c r="N45" s="191">
        <f>M45</f>
        <v>7600</v>
      </c>
      <c r="O45" s="191"/>
      <c r="P45" s="191">
        <v>1358</v>
      </c>
      <c r="Q45" s="191"/>
      <c r="R45" s="191"/>
      <c r="U45" s="474"/>
      <c r="V45" s="474"/>
      <c r="W45" s="474"/>
      <c r="X45" s="474"/>
      <c r="Y45" s="474"/>
      <c r="Z45" s="474"/>
      <c r="AA45" s="474"/>
      <c r="AB45" s="474"/>
    </row>
    <row r="46" spans="1:28" s="39" customFormat="1" ht="15.75">
      <c r="A46" s="76">
        <f>'53-CK NSNN'!A25</f>
        <v>15</v>
      </c>
      <c r="B46" s="221" t="str">
        <f>'53-CK NSNN'!B25</f>
        <v>Sở Lao động TB và Xã hội</v>
      </c>
      <c r="C46" s="191">
        <f t="shared" si="2"/>
        <v>372695</v>
      </c>
      <c r="D46" s="191">
        <f>SUM(D47:D52)</f>
        <v>365380</v>
      </c>
      <c r="E46" s="191">
        <f t="shared" ref="E46:R46" si="12">SUM(E47:E52)</f>
        <v>0</v>
      </c>
      <c r="F46" s="191">
        <f t="shared" si="12"/>
        <v>0</v>
      </c>
      <c r="G46" s="191">
        <f t="shared" si="12"/>
        <v>0</v>
      </c>
      <c r="H46" s="191">
        <f t="shared" si="12"/>
        <v>0</v>
      </c>
      <c r="I46" s="191">
        <f t="shared" si="12"/>
        <v>0</v>
      </c>
      <c r="J46" s="191">
        <f t="shared" si="12"/>
        <v>0</v>
      </c>
      <c r="K46" s="191">
        <f t="shared" si="12"/>
        <v>0</v>
      </c>
      <c r="L46" s="191">
        <f t="shared" si="12"/>
        <v>0</v>
      </c>
      <c r="M46" s="191">
        <f t="shared" si="12"/>
        <v>0</v>
      </c>
      <c r="N46" s="191">
        <f t="shared" si="12"/>
        <v>0</v>
      </c>
      <c r="O46" s="191">
        <f t="shared" si="12"/>
        <v>0</v>
      </c>
      <c r="P46" s="191">
        <f t="shared" si="12"/>
        <v>7315</v>
      </c>
      <c r="Q46" s="191">
        <f t="shared" si="12"/>
        <v>0</v>
      </c>
      <c r="R46" s="191">
        <f t="shared" si="12"/>
        <v>0</v>
      </c>
      <c r="U46" s="474"/>
      <c r="V46" s="474"/>
      <c r="W46" s="474"/>
      <c r="X46" s="474"/>
      <c r="Y46" s="474"/>
      <c r="Z46" s="474"/>
      <c r="AA46" s="474"/>
      <c r="AB46" s="474"/>
    </row>
    <row r="47" spans="1:28" s="39" customFormat="1" ht="15.75">
      <c r="A47" s="76" t="e">
        <f>'53-CK NSNN'!#REF!</f>
        <v>#REF!</v>
      </c>
      <c r="B47" s="221" t="e">
        <f>'53-CK NSNN'!#REF!</f>
        <v>#REF!</v>
      </c>
      <c r="C47" s="421">
        <f t="shared" si="2"/>
        <v>9315</v>
      </c>
      <c r="D47" s="421">
        <v>2000</v>
      </c>
      <c r="E47" s="421"/>
      <c r="F47" s="421"/>
      <c r="G47" s="421"/>
      <c r="H47" s="421"/>
      <c r="I47" s="421"/>
      <c r="J47" s="421"/>
      <c r="K47" s="421"/>
      <c r="L47" s="421"/>
      <c r="M47" s="421"/>
      <c r="N47" s="421"/>
      <c r="O47" s="421"/>
      <c r="P47" s="421">
        <v>7315</v>
      </c>
      <c r="Q47" s="421"/>
      <c r="R47" s="421"/>
      <c r="U47" s="474"/>
      <c r="V47" s="474"/>
      <c r="W47" s="474"/>
      <c r="X47" s="474"/>
      <c r="Y47" s="474"/>
      <c r="Z47" s="474"/>
      <c r="AA47" s="474"/>
      <c r="AB47" s="474"/>
    </row>
    <row r="48" spans="1:28" s="39" customFormat="1" ht="15.75">
      <c r="A48" s="76" t="e">
        <f>'53-CK NSNN'!#REF!</f>
        <v>#REF!</v>
      </c>
      <c r="B48" s="221" t="e">
        <f>'53-CK NSNN'!#REF!</f>
        <v>#REF!</v>
      </c>
      <c r="C48" s="421">
        <f t="shared" si="2"/>
        <v>16297</v>
      </c>
      <c r="D48" s="421">
        <v>16297</v>
      </c>
      <c r="E48" s="421"/>
      <c r="F48" s="421"/>
      <c r="G48" s="421"/>
      <c r="H48" s="421"/>
      <c r="I48" s="421"/>
      <c r="J48" s="421"/>
      <c r="K48" s="421"/>
      <c r="L48" s="421"/>
      <c r="M48" s="421"/>
      <c r="N48" s="421"/>
      <c r="O48" s="421"/>
      <c r="P48" s="421"/>
      <c r="Q48" s="421"/>
      <c r="R48" s="421"/>
      <c r="U48" s="474"/>
      <c r="V48" s="474"/>
      <c r="W48" s="474"/>
      <c r="X48" s="474"/>
      <c r="Y48" s="474"/>
      <c r="Z48" s="474"/>
      <c r="AA48" s="474"/>
      <c r="AB48" s="474"/>
    </row>
    <row r="49" spans="1:28" s="39" customFormat="1" ht="15.75">
      <c r="A49" s="76" t="e">
        <f>'53-CK NSNN'!#REF!</f>
        <v>#REF!</v>
      </c>
      <c r="B49" s="221" t="e">
        <f>'53-CK NSNN'!#REF!</f>
        <v>#REF!</v>
      </c>
      <c r="C49" s="421">
        <f t="shared" si="2"/>
        <v>0</v>
      </c>
      <c r="D49" s="421"/>
      <c r="E49" s="421"/>
      <c r="F49" s="421"/>
      <c r="G49" s="421"/>
      <c r="H49" s="421"/>
      <c r="I49" s="421"/>
      <c r="J49" s="421"/>
      <c r="K49" s="421"/>
      <c r="L49" s="421"/>
      <c r="M49" s="421"/>
      <c r="N49" s="421"/>
      <c r="O49" s="421"/>
      <c r="P49" s="421"/>
      <c r="Q49" s="421"/>
      <c r="R49" s="421"/>
      <c r="U49" s="474"/>
      <c r="V49" s="474"/>
      <c r="W49" s="474"/>
      <c r="X49" s="474"/>
      <c r="Y49" s="474"/>
      <c r="Z49" s="474"/>
      <c r="AA49" s="474"/>
      <c r="AB49" s="474"/>
    </row>
    <row r="50" spans="1:28" s="39" customFormat="1" ht="31.5">
      <c r="A50" s="76">
        <f>'53-CK NSNN'!A26</f>
        <v>16</v>
      </c>
      <c r="B50" s="221" t="str">
        <f>'53-CK NSNN'!B26</f>
        <v>Sở Văn hóa, thể thao, du lịch</v>
      </c>
      <c r="C50" s="421">
        <f t="shared" si="2"/>
        <v>2571</v>
      </c>
      <c r="D50" s="421">
        <v>2571</v>
      </c>
      <c r="E50" s="421"/>
      <c r="F50" s="421"/>
      <c r="G50" s="421"/>
      <c r="H50" s="421"/>
      <c r="I50" s="421"/>
      <c r="J50" s="421"/>
      <c r="K50" s="421"/>
      <c r="L50" s="421"/>
      <c r="M50" s="421"/>
      <c r="N50" s="421"/>
      <c r="O50" s="421"/>
      <c r="P50" s="421"/>
      <c r="Q50" s="421"/>
      <c r="R50" s="421"/>
      <c r="U50" s="474"/>
      <c r="V50" s="474"/>
      <c r="W50" s="474"/>
      <c r="X50" s="474"/>
      <c r="Y50" s="474"/>
      <c r="Z50" s="474"/>
      <c r="AA50" s="474"/>
      <c r="AB50" s="474"/>
    </row>
    <row r="51" spans="1:28" s="39" customFormat="1" ht="31.5">
      <c r="A51" s="76">
        <f>'53-CK NSNN'!A27</f>
        <v>17</v>
      </c>
      <c r="B51" s="221" t="str">
        <f>'53-CK NSNN'!B27</f>
        <v>Sở Tài nguyên và Môi trường</v>
      </c>
      <c r="C51" s="421">
        <f t="shared" si="2"/>
        <v>0</v>
      </c>
      <c r="D51" s="421"/>
      <c r="E51" s="421"/>
      <c r="F51" s="421"/>
      <c r="G51" s="421"/>
      <c r="H51" s="421"/>
      <c r="I51" s="421"/>
      <c r="J51" s="421"/>
      <c r="K51" s="421"/>
      <c r="L51" s="421"/>
      <c r="M51" s="421"/>
      <c r="N51" s="421"/>
      <c r="O51" s="421"/>
      <c r="P51" s="421"/>
      <c r="Q51" s="421"/>
      <c r="R51" s="421"/>
      <c r="U51" s="474"/>
      <c r="V51" s="474"/>
      <c r="W51" s="474"/>
      <c r="X51" s="474"/>
      <c r="Y51" s="474"/>
      <c r="Z51" s="474"/>
      <c r="AA51" s="474"/>
      <c r="AB51" s="474"/>
    </row>
    <row r="52" spans="1:28" s="39" customFormat="1" ht="15.75">
      <c r="A52" s="76" t="e">
        <f>'53-CK NSNN'!#REF!</f>
        <v>#REF!</v>
      </c>
      <c r="B52" s="221" t="e">
        <f>'53-CK NSNN'!#REF!</f>
        <v>#REF!</v>
      </c>
      <c r="C52" s="421">
        <f t="shared" si="2"/>
        <v>344512</v>
      </c>
      <c r="D52" s="421">
        <v>344512</v>
      </c>
      <c r="E52" s="421"/>
      <c r="F52" s="421"/>
      <c r="G52" s="421"/>
      <c r="H52" s="421"/>
      <c r="I52" s="421"/>
      <c r="J52" s="421"/>
      <c r="K52" s="421"/>
      <c r="L52" s="421"/>
      <c r="M52" s="421"/>
      <c r="N52" s="421"/>
      <c r="O52" s="421"/>
      <c r="P52" s="421"/>
      <c r="Q52" s="421"/>
      <c r="R52" s="421"/>
      <c r="U52" s="474"/>
      <c r="V52" s="474"/>
      <c r="W52" s="474"/>
      <c r="X52" s="474"/>
      <c r="Y52" s="474"/>
      <c r="Z52" s="474"/>
      <c r="AA52" s="474"/>
      <c r="AB52" s="474"/>
    </row>
    <row r="53" spans="1:28" s="39" customFormat="1" ht="15.75">
      <c r="A53" s="76" t="e">
        <f>'53-CK NSNN'!#REF!</f>
        <v>#REF!</v>
      </c>
      <c r="B53" s="221" t="e">
        <f>'53-CK NSNN'!#REF!</f>
        <v>#REF!</v>
      </c>
      <c r="C53" s="191">
        <f t="shared" si="2"/>
        <v>384670.97000000003</v>
      </c>
      <c r="D53" s="191">
        <f t="shared" ref="D53:R53" si="13">SUM(D54:D68)</f>
        <v>13906</v>
      </c>
      <c r="E53" s="191">
        <f t="shared" si="13"/>
        <v>0</v>
      </c>
      <c r="F53" s="191">
        <f t="shared" si="13"/>
        <v>0</v>
      </c>
      <c r="G53" s="191">
        <f t="shared" si="13"/>
        <v>0</v>
      </c>
      <c r="H53" s="191">
        <f t="shared" si="13"/>
        <v>354220.91000000003</v>
      </c>
      <c r="I53" s="191">
        <f t="shared" si="13"/>
        <v>0</v>
      </c>
      <c r="J53" s="191">
        <f t="shared" si="13"/>
        <v>0</v>
      </c>
      <c r="K53" s="191">
        <f t="shared" si="13"/>
        <v>0</v>
      </c>
      <c r="L53" s="191">
        <f t="shared" si="13"/>
        <v>0</v>
      </c>
      <c r="M53" s="191">
        <f t="shared" si="13"/>
        <v>0</v>
      </c>
      <c r="N53" s="191">
        <f t="shared" si="13"/>
        <v>0</v>
      </c>
      <c r="O53" s="191">
        <f t="shared" si="13"/>
        <v>0</v>
      </c>
      <c r="P53" s="191">
        <f t="shared" si="13"/>
        <v>16544.060000000001</v>
      </c>
      <c r="Q53" s="191">
        <f t="shared" si="13"/>
        <v>0</v>
      </c>
      <c r="R53" s="191">
        <f t="shared" si="13"/>
        <v>0</v>
      </c>
      <c r="U53" s="474"/>
      <c r="V53" s="474"/>
      <c r="W53" s="474"/>
      <c r="X53" s="474"/>
      <c r="Y53" s="474"/>
      <c r="Z53" s="474"/>
      <c r="AA53" s="474"/>
      <c r="AB53" s="474"/>
    </row>
    <row r="54" spans="1:28" s="187" customFormat="1" ht="15.75">
      <c r="A54" s="423" t="e">
        <f>'53-CK NSNN'!#REF!</f>
        <v>#REF!</v>
      </c>
      <c r="B54" s="424" t="e">
        <f>'53-CK NSNN'!#REF!</f>
        <v>#REF!</v>
      </c>
      <c r="C54" s="425">
        <f t="shared" si="2"/>
        <v>49546.792000000001</v>
      </c>
      <c r="D54" s="425">
        <v>10000</v>
      </c>
      <c r="E54" s="425"/>
      <c r="F54" s="425"/>
      <c r="G54" s="425"/>
      <c r="H54" s="425">
        <f>3762.732+14000+540+500+1000+1200+2000</f>
        <v>23002.732</v>
      </c>
      <c r="I54" s="425"/>
      <c r="J54" s="425"/>
      <c r="K54" s="425"/>
      <c r="L54" s="425"/>
      <c r="M54" s="425"/>
      <c r="N54" s="425"/>
      <c r="O54" s="425"/>
      <c r="P54" s="425">
        <f>16444.06+100</f>
        <v>16544.060000000001</v>
      </c>
      <c r="Q54" s="425"/>
      <c r="R54" s="425"/>
      <c r="U54" s="476"/>
      <c r="V54" s="476"/>
      <c r="W54" s="476"/>
      <c r="X54" s="476"/>
      <c r="Y54" s="476"/>
      <c r="Z54" s="476"/>
      <c r="AA54" s="476"/>
      <c r="AB54" s="476"/>
    </row>
    <row r="55" spans="1:28" s="187" customFormat="1" ht="31.5">
      <c r="A55" s="423">
        <f>'53-CK NSNN'!A28</f>
        <v>18</v>
      </c>
      <c r="B55" s="424" t="str">
        <f>'53-CK NSNN'!B28</f>
        <v>Sở Thông tin và Truyền thông</v>
      </c>
      <c r="C55" s="425">
        <f t="shared" si="2"/>
        <v>3906</v>
      </c>
      <c r="D55" s="425">
        <v>3906</v>
      </c>
      <c r="E55" s="425"/>
      <c r="F55" s="425"/>
      <c r="G55" s="425"/>
      <c r="H55" s="425"/>
      <c r="I55" s="425"/>
      <c r="J55" s="425"/>
      <c r="K55" s="425"/>
      <c r="L55" s="425"/>
      <c r="M55" s="425"/>
      <c r="N55" s="425"/>
      <c r="O55" s="425"/>
      <c r="P55" s="425"/>
      <c r="Q55" s="425"/>
      <c r="R55" s="425"/>
      <c r="U55" s="476"/>
      <c r="V55" s="476"/>
      <c r="W55" s="476"/>
      <c r="X55" s="476"/>
      <c r="Y55" s="476"/>
      <c r="Z55" s="476"/>
      <c r="AA55" s="476"/>
      <c r="AB55" s="476"/>
    </row>
    <row r="56" spans="1:28" s="187" customFormat="1" ht="15.75">
      <c r="A56" s="423">
        <f>'53-CK NSNN'!A29</f>
        <v>19</v>
      </c>
      <c r="B56" s="424" t="str">
        <f>'53-CK NSNN'!B29</f>
        <v>Sở Nội vụ</v>
      </c>
      <c r="C56" s="425">
        <f>D56+E56+F56+G56+H56+I56+J56+K56+L56+M56+P56+Q56+R56</f>
        <v>39181.061999999998</v>
      </c>
      <c r="D56" s="425"/>
      <c r="E56" s="425"/>
      <c r="F56" s="425"/>
      <c r="G56" s="425"/>
      <c r="H56" s="425">
        <f>17656+11400+7133.062+2992</f>
        <v>39181.061999999998</v>
      </c>
      <c r="I56" s="425"/>
      <c r="J56" s="425"/>
      <c r="K56" s="425"/>
      <c r="L56" s="425"/>
      <c r="M56" s="425"/>
      <c r="N56" s="425"/>
      <c r="O56" s="425"/>
      <c r="P56" s="425"/>
      <c r="Q56" s="425"/>
      <c r="R56" s="425"/>
      <c r="U56" s="476"/>
      <c r="V56" s="476"/>
      <c r="W56" s="476"/>
      <c r="X56" s="476"/>
      <c r="Y56" s="476"/>
      <c r="Z56" s="476"/>
      <c r="AA56" s="476"/>
      <c r="AB56" s="476"/>
    </row>
    <row r="57" spans="1:28" s="187" customFormat="1" ht="15.75">
      <c r="A57" s="423" t="e">
        <f>'53-CK NSNN'!#REF!</f>
        <v>#REF!</v>
      </c>
      <c r="B57" s="424" t="e">
        <f>'53-CK NSNN'!#REF!</f>
        <v>#REF!</v>
      </c>
      <c r="C57" s="425">
        <f>D57+E57+F57+G57+H57+I57+J57+K57+L57+M57+P57+Q57+R57</f>
        <v>20539</v>
      </c>
      <c r="D57" s="425"/>
      <c r="E57" s="425"/>
      <c r="F57" s="425"/>
      <c r="G57" s="425"/>
      <c r="H57" s="425">
        <f>8723+4061+7755</f>
        <v>20539</v>
      </c>
      <c r="I57" s="425"/>
      <c r="J57" s="425"/>
      <c r="K57" s="425"/>
      <c r="L57" s="425"/>
      <c r="M57" s="425"/>
      <c r="N57" s="425"/>
      <c r="O57" s="425"/>
      <c r="P57" s="425"/>
      <c r="Q57" s="425"/>
      <c r="R57" s="425"/>
      <c r="U57" s="476"/>
      <c r="V57" s="476"/>
      <c r="W57" s="476"/>
      <c r="X57" s="476"/>
      <c r="Y57" s="476"/>
      <c r="Z57" s="476"/>
      <c r="AA57" s="476"/>
      <c r="AB57" s="476"/>
    </row>
    <row r="58" spans="1:28" s="187" customFormat="1" ht="15.75">
      <c r="A58" s="423" t="e">
        <f>'53-CK NSNN'!#REF!</f>
        <v>#REF!</v>
      </c>
      <c r="B58" s="424" t="e">
        <f>'53-CK NSNN'!#REF!</f>
        <v>#REF!</v>
      </c>
      <c r="C58" s="425">
        <f t="shared" si="2"/>
        <v>4666.8950000000004</v>
      </c>
      <c r="D58" s="425"/>
      <c r="E58" s="425"/>
      <c r="F58" s="425"/>
      <c r="G58" s="425"/>
      <c r="H58" s="425">
        <v>4666.8950000000004</v>
      </c>
      <c r="I58" s="425"/>
      <c r="J58" s="425"/>
      <c r="K58" s="425"/>
      <c r="L58" s="425"/>
      <c r="M58" s="425"/>
      <c r="N58" s="425"/>
      <c r="O58" s="425"/>
      <c r="P58" s="425"/>
      <c r="Q58" s="425"/>
      <c r="R58" s="425"/>
      <c r="U58" s="476"/>
      <c r="V58" s="476"/>
      <c r="W58" s="476"/>
      <c r="X58" s="476"/>
      <c r="Y58" s="476"/>
      <c r="Z58" s="476"/>
      <c r="AA58" s="476"/>
      <c r="AB58" s="476"/>
    </row>
    <row r="59" spans="1:28" s="187" customFormat="1" ht="15.75">
      <c r="A59" s="423" t="e">
        <f>'53-CK NSNN'!#REF!</f>
        <v>#REF!</v>
      </c>
      <c r="B59" s="424" t="e">
        <f>'53-CK NSNN'!#REF!</f>
        <v>#REF!</v>
      </c>
      <c r="C59" s="425">
        <f t="shared" si="2"/>
        <v>62417.220999999998</v>
      </c>
      <c r="D59" s="425"/>
      <c r="E59" s="425"/>
      <c r="F59" s="425"/>
      <c r="G59" s="425"/>
      <c r="H59" s="425">
        <v>62417.220999999998</v>
      </c>
      <c r="I59" s="425"/>
      <c r="J59" s="425"/>
      <c r="K59" s="425"/>
      <c r="L59" s="425"/>
      <c r="M59" s="425"/>
      <c r="N59" s="425"/>
      <c r="O59" s="425"/>
      <c r="P59" s="425"/>
      <c r="Q59" s="425"/>
      <c r="R59" s="425"/>
      <c r="U59" s="476"/>
      <c r="V59" s="476"/>
      <c r="W59" s="476"/>
      <c r="X59" s="476"/>
      <c r="Y59" s="476"/>
      <c r="Z59" s="476"/>
      <c r="AA59" s="476"/>
      <c r="AB59" s="476"/>
    </row>
    <row r="60" spans="1:28" s="187" customFormat="1" ht="15.75">
      <c r="A60" s="423" t="e">
        <f>'53-CK NSNN'!#REF!</f>
        <v>#REF!</v>
      </c>
      <c r="B60" s="424" t="e">
        <f>'53-CK NSNN'!#REF!</f>
        <v>#REF!</v>
      </c>
      <c r="C60" s="425">
        <f t="shared" si="2"/>
        <v>11980</v>
      </c>
      <c r="D60" s="425"/>
      <c r="E60" s="425"/>
      <c r="F60" s="425"/>
      <c r="G60" s="425"/>
      <c r="H60" s="425">
        <v>11980</v>
      </c>
      <c r="I60" s="425"/>
      <c r="J60" s="425"/>
      <c r="K60" s="425"/>
      <c r="L60" s="425"/>
      <c r="M60" s="425"/>
      <c r="N60" s="425"/>
      <c r="O60" s="425"/>
      <c r="P60" s="425"/>
      <c r="Q60" s="425"/>
      <c r="R60" s="425"/>
      <c r="U60" s="476"/>
      <c r="V60" s="476"/>
      <c r="W60" s="476"/>
      <c r="X60" s="476"/>
      <c r="Y60" s="476"/>
      <c r="Z60" s="476"/>
      <c r="AA60" s="476"/>
      <c r="AB60" s="476"/>
    </row>
    <row r="61" spans="1:28" s="187" customFormat="1" ht="15.75">
      <c r="A61" s="423">
        <f>'53-CK NSNN'!A30</f>
        <v>20</v>
      </c>
      <c r="B61" s="424" t="str">
        <f>'53-CK NSNN'!B30</f>
        <v>Thanh Tra tỉnh</v>
      </c>
      <c r="C61" s="425">
        <f t="shared" si="2"/>
        <v>36532</v>
      </c>
      <c r="D61" s="425"/>
      <c r="E61" s="425"/>
      <c r="F61" s="425"/>
      <c r="G61" s="425"/>
      <c r="H61" s="425">
        <v>36532</v>
      </c>
      <c r="I61" s="425"/>
      <c r="J61" s="425"/>
      <c r="K61" s="425"/>
      <c r="L61" s="425"/>
      <c r="M61" s="425"/>
      <c r="N61" s="425"/>
      <c r="O61" s="425"/>
      <c r="P61" s="425"/>
      <c r="Q61" s="425"/>
      <c r="R61" s="425"/>
      <c r="U61" s="476"/>
      <c r="V61" s="476"/>
      <c r="W61" s="476"/>
      <c r="X61" s="476"/>
      <c r="Y61" s="476"/>
      <c r="Z61" s="476"/>
      <c r="AA61" s="476"/>
      <c r="AB61" s="476"/>
    </row>
    <row r="62" spans="1:28" s="187" customFormat="1" ht="15.75">
      <c r="A62" s="423">
        <f>'53-CK NSNN'!A31</f>
        <v>21</v>
      </c>
      <c r="B62" s="424" t="str">
        <f>'53-CK NSNN'!B31</f>
        <v>Sở Ngoại vụ</v>
      </c>
      <c r="C62" s="425">
        <f t="shared" si="2"/>
        <v>5740</v>
      </c>
      <c r="D62" s="425"/>
      <c r="E62" s="425"/>
      <c r="F62" s="425"/>
      <c r="G62" s="425"/>
      <c r="H62" s="425">
        <v>5740</v>
      </c>
      <c r="I62" s="425"/>
      <c r="J62" s="425"/>
      <c r="K62" s="425"/>
      <c r="L62" s="425"/>
      <c r="M62" s="425"/>
      <c r="N62" s="425"/>
      <c r="O62" s="425"/>
      <c r="P62" s="425"/>
      <c r="Q62" s="425"/>
      <c r="R62" s="425"/>
      <c r="U62" s="476"/>
      <c r="V62" s="476"/>
      <c r="W62" s="476"/>
      <c r="X62" s="476"/>
      <c r="Y62" s="476"/>
      <c r="Z62" s="476"/>
      <c r="AA62" s="476"/>
      <c r="AB62" s="476"/>
    </row>
    <row r="63" spans="1:28" s="187" customFormat="1" ht="15.75">
      <c r="A63" s="423" t="e">
        <f>'53-CK NSNN'!#REF!</f>
        <v>#REF!</v>
      </c>
      <c r="B63" s="424" t="e">
        <f>'53-CK NSNN'!#REF!</f>
        <v>#REF!</v>
      </c>
      <c r="C63" s="425">
        <f t="shared" si="2"/>
        <v>1400</v>
      </c>
      <c r="D63" s="425"/>
      <c r="E63" s="425"/>
      <c r="F63" s="425"/>
      <c r="G63" s="425"/>
      <c r="H63" s="425">
        <v>1400</v>
      </c>
      <c r="I63" s="425"/>
      <c r="J63" s="425"/>
      <c r="K63" s="425"/>
      <c r="L63" s="425"/>
      <c r="M63" s="425"/>
      <c r="N63" s="425"/>
      <c r="O63" s="425"/>
      <c r="P63" s="425"/>
      <c r="Q63" s="425"/>
      <c r="R63" s="425"/>
      <c r="U63" s="476"/>
      <c r="V63" s="476"/>
      <c r="W63" s="476"/>
      <c r="X63" s="476"/>
      <c r="Y63" s="476"/>
      <c r="Z63" s="476"/>
      <c r="AA63" s="476"/>
      <c r="AB63" s="476"/>
    </row>
    <row r="64" spans="1:28" s="187" customFormat="1" ht="15.75">
      <c r="A64" s="423">
        <f>'53-CK NSNN'!A32</f>
        <v>22</v>
      </c>
      <c r="B64" s="424" t="str">
        <f>'53-CK NSNN'!B32</f>
        <v>Mặt Trận Tổ quốc</v>
      </c>
      <c r="C64" s="425">
        <f t="shared" si="2"/>
        <v>3296</v>
      </c>
      <c r="D64" s="425"/>
      <c r="E64" s="425"/>
      <c r="F64" s="425"/>
      <c r="G64" s="425"/>
      <c r="H64" s="425">
        <v>3296</v>
      </c>
      <c r="I64" s="425"/>
      <c r="J64" s="425"/>
      <c r="K64" s="425"/>
      <c r="L64" s="425"/>
      <c r="M64" s="425"/>
      <c r="N64" s="425"/>
      <c r="O64" s="425"/>
      <c r="P64" s="425"/>
      <c r="Q64" s="425"/>
      <c r="R64" s="425"/>
      <c r="U64" s="476"/>
      <c r="V64" s="476"/>
      <c r="W64" s="476"/>
      <c r="X64" s="476"/>
      <c r="Y64" s="476"/>
      <c r="Z64" s="476"/>
      <c r="AA64" s="476"/>
      <c r="AB64" s="476"/>
    </row>
    <row r="65" spans="1:28" s="187" customFormat="1" ht="15.75">
      <c r="A65" s="423">
        <f>'53-CK NSNN'!A33</f>
        <v>23</v>
      </c>
      <c r="B65" s="424" t="str">
        <f>'53-CK NSNN'!B33</f>
        <v>Tỉnh Đoàn</v>
      </c>
      <c r="C65" s="425">
        <f t="shared" si="2"/>
        <v>2385</v>
      </c>
      <c r="D65" s="425"/>
      <c r="E65" s="425"/>
      <c r="F65" s="425"/>
      <c r="G65" s="425"/>
      <c r="H65" s="425">
        <v>2385</v>
      </c>
      <c r="I65" s="425"/>
      <c r="J65" s="425"/>
      <c r="K65" s="425"/>
      <c r="L65" s="425"/>
      <c r="M65" s="425"/>
      <c r="N65" s="425"/>
      <c r="O65" s="425"/>
      <c r="P65" s="425"/>
      <c r="Q65" s="425"/>
      <c r="R65" s="425"/>
      <c r="U65" s="476"/>
      <c r="V65" s="476"/>
      <c r="W65" s="476"/>
      <c r="X65" s="476"/>
      <c r="Y65" s="476"/>
      <c r="Z65" s="476"/>
      <c r="AA65" s="476"/>
      <c r="AB65" s="476"/>
    </row>
    <row r="66" spans="1:28" s="187" customFormat="1" ht="15.75">
      <c r="A66" s="423">
        <f>'53-CK NSNN'!A34</f>
        <v>24</v>
      </c>
      <c r="B66" s="424" t="str">
        <f>'53-CK NSNN'!B34</f>
        <v>Hội Liên hiệp Phụ nữ</v>
      </c>
      <c r="C66" s="425">
        <f t="shared" si="2"/>
        <v>1747</v>
      </c>
      <c r="D66" s="425"/>
      <c r="E66" s="425"/>
      <c r="F66" s="425"/>
      <c r="G66" s="425"/>
      <c r="H66" s="425">
        <v>1747</v>
      </c>
      <c r="I66" s="425"/>
      <c r="J66" s="425"/>
      <c r="K66" s="425"/>
      <c r="L66" s="425"/>
      <c r="M66" s="425"/>
      <c r="N66" s="425"/>
      <c r="O66" s="425"/>
      <c r="P66" s="425"/>
      <c r="Q66" s="425"/>
      <c r="R66" s="425"/>
      <c r="U66" s="476"/>
      <c r="V66" s="476"/>
      <c r="W66" s="476"/>
      <c r="X66" s="476"/>
      <c r="Y66" s="476"/>
      <c r="Z66" s="476"/>
      <c r="AA66" s="476"/>
      <c r="AB66" s="476"/>
    </row>
    <row r="67" spans="1:28" s="187" customFormat="1" ht="15.75">
      <c r="A67" s="423">
        <f>'53-CK NSNN'!A35</f>
        <v>25</v>
      </c>
      <c r="B67" s="424" t="str">
        <f>'53-CK NSNN'!B35</f>
        <v>Hội Nông dân</v>
      </c>
      <c r="C67" s="425">
        <f t="shared" si="2"/>
        <v>1085</v>
      </c>
      <c r="D67" s="425"/>
      <c r="E67" s="425"/>
      <c r="F67" s="425"/>
      <c r="G67" s="425"/>
      <c r="H67" s="425">
        <v>1085</v>
      </c>
      <c r="I67" s="425"/>
      <c r="J67" s="425"/>
      <c r="K67" s="425"/>
      <c r="L67" s="425"/>
      <c r="M67" s="425"/>
      <c r="N67" s="425"/>
      <c r="O67" s="425"/>
      <c r="P67" s="425"/>
      <c r="Q67" s="425"/>
      <c r="R67" s="425"/>
      <c r="U67" s="476"/>
      <c r="V67" s="476"/>
      <c r="W67" s="476"/>
      <c r="X67" s="476"/>
      <c r="Y67" s="476"/>
      <c r="Z67" s="476"/>
      <c r="AA67" s="476"/>
      <c r="AB67" s="476"/>
    </row>
    <row r="68" spans="1:28" s="187" customFormat="1" ht="15.75">
      <c r="A68" s="423">
        <f>'53-CK NSNN'!A36</f>
        <v>26</v>
      </c>
      <c r="B68" s="424" t="str">
        <f>'53-CK NSNN'!B36</f>
        <v>Hội Cựu chiến binh</v>
      </c>
      <c r="C68" s="425">
        <f t="shared" si="2"/>
        <v>140249</v>
      </c>
      <c r="D68" s="425"/>
      <c r="E68" s="425"/>
      <c r="F68" s="425"/>
      <c r="G68" s="425"/>
      <c r="H68" s="425">
        <v>140249</v>
      </c>
      <c r="I68" s="425"/>
      <c r="J68" s="425"/>
      <c r="K68" s="425"/>
      <c r="L68" s="425"/>
      <c r="M68" s="425"/>
      <c r="N68" s="425"/>
      <c r="O68" s="425"/>
      <c r="P68" s="425"/>
      <c r="Q68" s="425"/>
      <c r="R68" s="425"/>
      <c r="U68" s="476"/>
      <c r="V68" s="476"/>
      <c r="W68" s="476"/>
      <c r="X68" s="476"/>
      <c r="Y68" s="476"/>
      <c r="Z68" s="476"/>
      <c r="AA68" s="476"/>
      <c r="AB68" s="476"/>
    </row>
    <row r="69" spans="1:28" s="39" customFormat="1" ht="15.75">
      <c r="A69" s="76" t="e">
        <f>'53-CK NSNN'!#REF!</f>
        <v>#REF!</v>
      </c>
      <c r="B69" s="221" t="e">
        <f>'53-CK NSNN'!#REF!</f>
        <v>#REF!</v>
      </c>
      <c r="C69" s="191">
        <f t="shared" si="2"/>
        <v>106478.461</v>
      </c>
      <c r="D69" s="191">
        <f>SUM(D70:D79)</f>
        <v>52460.460999999996</v>
      </c>
      <c r="E69" s="191">
        <f t="shared" ref="E69:R69" si="14">SUM(E70:E79)</f>
        <v>0</v>
      </c>
      <c r="F69" s="191">
        <f t="shared" si="14"/>
        <v>0</v>
      </c>
      <c r="G69" s="191">
        <f t="shared" si="14"/>
        <v>0</v>
      </c>
      <c r="H69" s="191">
        <f t="shared" si="14"/>
        <v>0</v>
      </c>
      <c r="I69" s="191">
        <f t="shared" si="14"/>
        <v>0</v>
      </c>
      <c r="J69" s="191">
        <f t="shared" si="14"/>
        <v>0</v>
      </c>
      <c r="K69" s="191">
        <f t="shared" si="14"/>
        <v>0</v>
      </c>
      <c r="L69" s="191">
        <f t="shared" si="14"/>
        <v>0</v>
      </c>
      <c r="M69" s="191">
        <f t="shared" si="14"/>
        <v>0</v>
      </c>
      <c r="N69" s="191">
        <f t="shared" si="14"/>
        <v>0</v>
      </c>
      <c r="O69" s="191">
        <f t="shared" si="14"/>
        <v>0</v>
      </c>
      <c r="P69" s="191">
        <f t="shared" si="14"/>
        <v>10662</v>
      </c>
      <c r="Q69" s="191">
        <f t="shared" si="14"/>
        <v>43356</v>
      </c>
      <c r="R69" s="191">
        <f t="shared" si="14"/>
        <v>0</v>
      </c>
      <c r="U69" s="474"/>
      <c r="V69" s="474"/>
      <c r="W69" s="474"/>
      <c r="X69" s="474"/>
      <c r="Y69" s="474"/>
      <c r="Z69" s="474"/>
      <c r="AA69" s="474"/>
      <c r="AB69" s="474"/>
    </row>
    <row r="70" spans="1:28" s="187" customFormat="1" ht="15.75">
      <c r="A70" s="423" t="e">
        <f>'53-CK NSNN'!#REF!</f>
        <v>#REF!</v>
      </c>
      <c r="B70" s="424" t="e">
        <f>'53-CK NSNN'!#REF!</f>
        <v>#REF!</v>
      </c>
      <c r="C70" s="425">
        <f t="shared" si="2"/>
        <v>27364</v>
      </c>
      <c r="D70" s="425">
        <v>1650</v>
      </c>
      <c r="E70" s="425"/>
      <c r="F70" s="425"/>
      <c r="G70" s="425"/>
      <c r="H70" s="425"/>
      <c r="I70" s="425"/>
      <c r="J70" s="425"/>
      <c r="K70" s="425"/>
      <c r="L70" s="425"/>
      <c r="M70" s="425"/>
      <c r="N70" s="425"/>
      <c r="O70" s="425"/>
      <c r="P70" s="425">
        <f>10400+X70</f>
        <v>10662</v>
      </c>
      <c r="Q70" s="425">
        <f>12852+200+1800+200</f>
        <v>15052</v>
      </c>
      <c r="R70" s="425"/>
      <c r="U70" s="476"/>
      <c r="V70" s="476"/>
      <c r="W70" s="476"/>
      <c r="X70" s="476">
        <f>10+237+16-1</f>
        <v>262</v>
      </c>
      <c r="Y70" s="476"/>
      <c r="Z70" s="476"/>
      <c r="AA70" s="476"/>
      <c r="AB70" s="476"/>
    </row>
    <row r="71" spans="1:28" s="187" customFormat="1" ht="15.75">
      <c r="A71" s="423" t="e">
        <f>'53-CK NSNN'!#REF!</f>
        <v>#REF!</v>
      </c>
      <c r="B71" s="424" t="e">
        <f>'53-CK NSNN'!#REF!</f>
        <v>#REF!</v>
      </c>
      <c r="C71" s="425">
        <f t="shared" si="2"/>
        <v>16178.49</v>
      </c>
      <c r="D71" s="425">
        <v>16178.49</v>
      </c>
      <c r="E71" s="425"/>
      <c r="F71" s="425"/>
      <c r="G71" s="425"/>
      <c r="H71" s="425"/>
      <c r="I71" s="425"/>
      <c r="J71" s="425"/>
      <c r="K71" s="425"/>
      <c r="L71" s="425"/>
      <c r="M71" s="425"/>
      <c r="N71" s="425"/>
      <c r="O71" s="425"/>
      <c r="P71" s="425"/>
      <c r="Q71" s="425"/>
      <c r="R71" s="425"/>
      <c r="U71" s="476"/>
      <c r="V71" s="476"/>
      <c r="W71" s="476"/>
      <c r="X71" s="476"/>
      <c r="Y71" s="476"/>
      <c r="Z71" s="476"/>
      <c r="AA71" s="476"/>
      <c r="AB71" s="476"/>
    </row>
    <row r="72" spans="1:28" s="187" customFormat="1" ht="15.75">
      <c r="A72" s="423" t="e">
        <f>'53-CK NSNN'!#REF!</f>
        <v>#REF!</v>
      </c>
      <c r="B72" s="424" t="e">
        <f>'53-CK NSNN'!#REF!</f>
        <v>#REF!</v>
      </c>
      <c r="C72" s="425">
        <f t="shared" si="2"/>
        <v>4100.4430000000002</v>
      </c>
      <c r="D72" s="425">
        <v>4100.4430000000002</v>
      </c>
      <c r="E72" s="425"/>
      <c r="F72" s="425"/>
      <c r="G72" s="425"/>
      <c r="H72" s="425"/>
      <c r="I72" s="425"/>
      <c r="J72" s="425"/>
      <c r="K72" s="425"/>
      <c r="L72" s="425"/>
      <c r="M72" s="425"/>
      <c r="N72" s="425"/>
      <c r="O72" s="425"/>
      <c r="P72" s="425"/>
      <c r="Q72" s="425"/>
      <c r="R72" s="425"/>
      <c r="U72" s="476"/>
      <c r="V72" s="476"/>
      <c r="W72" s="476"/>
      <c r="X72" s="476"/>
      <c r="Y72" s="476"/>
      <c r="Z72" s="476"/>
      <c r="AA72" s="476"/>
      <c r="AB72" s="476"/>
    </row>
    <row r="73" spans="1:28" s="187" customFormat="1" ht="15.75">
      <c r="A73" s="423" t="e">
        <f>'53-CK NSNN'!#REF!</f>
        <v>#REF!</v>
      </c>
      <c r="B73" s="424" t="e">
        <f>'53-CK NSNN'!#REF!</f>
        <v>#REF!</v>
      </c>
      <c r="C73" s="425">
        <f t="shared" si="2"/>
        <v>24565.767999999996</v>
      </c>
      <c r="D73" s="425">
        <f>4898.688+4726.2+14940.88</f>
        <v>24565.767999999996</v>
      </c>
      <c r="E73" s="425"/>
      <c r="F73" s="425"/>
      <c r="G73" s="425"/>
      <c r="H73" s="425"/>
      <c r="I73" s="425"/>
      <c r="J73" s="425"/>
      <c r="K73" s="425"/>
      <c r="L73" s="425"/>
      <c r="M73" s="425"/>
      <c r="N73" s="425"/>
      <c r="O73" s="425"/>
      <c r="P73" s="425"/>
      <c r="Q73" s="425"/>
      <c r="R73" s="425"/>
      <c r="U73" s="476"/>
      <c r="V73" s="476"/>
      <c r="W73" s="476"/>
      <c r="X73" s="476"/>
      <c r="Y73" s="476"/>
      <c r="Z73" s="476"/>
      <c r="AA73" s="476"/>
      <c r="AB73" s="476"/>
    </row>
    <row r="74" spans="1:28" s="187" customFormat="1" ht="15.75">
      <c r="A74" s="423" t="e">
        <f>'53-CK NSNN'!#REF!</f>
        <v>#REF!</v>
      </c>
      <c r="B74" s="424" t="e">
        <f>'53-CK NSNN'!#REF!</f>
        <v>#REF!</v>
      </c>
      <c r="C74" s="425">
        <f t="shared" si="2"/>
        <v>5965.76</v>
      </c>
      <c r="D74" s="425">
        <f>4752.76+1213</f>
        <v>5965.76</v>
      </c>
      <c r="E74" s="425"/>
      <c r="F74" s="425"/>
      <c r="G74" s="425"/>
      <c r="H74" s="425"/>
      <c r="I74" s="425"/>
      <c r="J74" s="425"/>
      <c r="K74" s="425"/>
      <c r="L74" s="425"/>
      <c r="M74" s="425"/>
      <c r="N74" s="425"/>
      <c r="O74" s="425"/>
      <c r="P74" s="425"/>
      <c r="Q74" s="425"/>
      <c r="R74" s="425"/>
      <c r="U74" s="476"/>
      <c r="V74" s="476"/>
      <c r="W74" s="476"/>
      <c r="X74" s="476"/>
      <c r="Y74" s="476"/>
      <c r="Z74" s="476"/>
      <c r="AA74" s="476"/>
      <c r="AB74" s="476"/>
    </row>
    <row r="75" spans="1:28" s="187" customFormat="1" ht="15.75">
      <c r="A75" s="423" t="e">
        <f>'53-CK NSNN'!#REF!</f>
        <v>#REF!</v>
      </c>
      <c r="B75" s="424" t="e">
        <f>'53-CK NSNN'!#REF!</f>
        <v>#REF!</v>
      </c>
      <c r="C75" s="425">
        <f t="shared" si="2"/>
        <v>7832</v>
      </c>
      <c r="D75" s="425"/>
      <c r="E75" s="425"/>
      <c r="F75" s="425"/>
      <c r="G75" s="425"/>
      <c r="H75" s="425"/>
      <c r="I75" s="425"/>
      <c r="J75" s="425"/>
      <c r="K75" s="425"/>
      <c r="L75" s="425"/>
      <c r="M75" s="425"/>
      <c r="N75" s="425"/>
      <c r="O75" s="425"/>
      <c r="P75" s="425"/>
      <c r="Q75" s="425">
        <v>7832</v>
      </c>
      <c r="R75" s="425"/>
      <c r="U75" s="476"/>
      <c r="V75" s="476"/>
      <c r="W75" s="476"/>
      <c r="X75" s="476"/>
      <c r="Y75" s="476"/>
      <c r="Z75" s="476"/>
      <c r="AA75" s="476"/>
      <c r="AB75" s="476"/>
    </row>
    <row r="76" spans="1:28" s="187" customFormat="1" ht="15.75">
      <c r="A76" s="423" t="e">
        <f>'53-CK NSNN'!#REF!</f>
        <v>#REF!</v>
      </c>
      <c r="B76" s="424" t="e">
        <f>'53-CK NSNN'!#REF!</f>
        <v>#REF!</v>
      </c>
      <c r="C76" s="425">
        <f t="shared" si="2"/>
        <v>12400</v>
      </c>
      <c r="D76" s="425"/>
      <c r="E76" s="425"/>
      <c r="F76" s="425"/>
      <c r="G76" s="425"/>
      <c r="H76" s="425"/>
      <c r="I76" s="425"/>
      <c r="J76" s="425"/>
      <c r="K76" s="425"/>
      <c r="L76" s="425"/>
      <c r="M76" s="425"/>
      <c r="N76" s="425"/>
      <c r="O76" s="425"/>
      <c r="P76" s="425"/>
      <c r="Q76" s="425">
        <v>12400</v>
      </c>
      <c r="R76" s="425"/>
      <c r="U76" s="476"/>
      <c r="V76" s="476"/>
      <c r="W76" s="476"/>
      <c r="X76" s="476"/>
      <c r="Y76" s="476"/>
      <c r="Z76" s="476"/>
      <c r="AA76" s="476"/>
      <c r="AB76" s="476"/>
    </row>
    <row r="77" spans="1:28" s="187" customFormat="1" ht="15.75">
      <c r="A77" s="423" t="e">
        <f>'53-CK NSNN'!#REF!</f>
        <v>#REF!</v>
      </c>
      <c r="B77" s="424" t="e">
        <f>'53-CK NSNN'!#REF!</f>
        <v>#REF!</v>
      </c>
      <c r="C77" s="425">
        <f t="shared" si="2"/>
        <v>5568</v>
      </c>
      <c r="D77" s="425"/>
      <c r="E77" s="425"/>
      <c r="F77" s="425"/>
      <c r="G77" s="425"/>
      <c r="H77" s="425"/>
      <c r="I77" s="425"/>
      <c r="J77" s="425"/>
      <c r="K77" s="425"/>
      <c r="L77" s="425"/>
      <c r="M77" s="425"/>
      <c r="N77" s="425"/>
      <c r="O77" s="425"/>
      <c r="P77" s="425"/>
      <c r="Q77" s="425">
        <f>450+X77</f>
        <v>5568</v>
      </c>
      <c r="R77" s="425"/>
      <c r="U77" s="476"/>
      <c r="V77" s="476"/>
      <c r="W77" s="476"/>
      <c r="X77" s="476">
        <v>5118</v>
      </c>
      <c r="Y77" s="476"/>
      <c r="Z77" s="476"/>
      <c r="AA77" s="476"/>
      <c r="AB77" s="476"/>
    </row>
    <row r="78" spans="1:28" s="187" customFormat="1" ht="15.75">
      <c r="A78" s="423" t="e">
        <f>'53-CK NSNN'!#REF!</f>
        <v>#REF!</v>
      </c>
      <c r="B78" s="424" t="e">
        <f>'53-CK NSNN'!#REF!</f>
        <v>#REF!</v>
      </c>
      <c r="C78" s="425">
        <f t="shared" si="2"/>
        <v>804</v>
      </c>
      <c r="D78" s="425"/>
      <c r="E78" s="425"/>
      <c r="F78" s="425"/>
      <c r="G78" s="425"/>
      <c r="H78" s="425"/>
      <c r="I78" s="425"/>
      <c r="J78" s="425"/>
      <c r="K78" s="425"/>
      <c r="L78" s="425"/>
      <c r="M78" s="425"/>
      <c r="N78" s="425"/>
      <c r="O78" s="425"/>
      <c r="P78" s="425"/>
      <c r="Q78" s="425">
        <v>804</v>
      </c>
      <c r="R78" s="425"/>
      <c r="U78" s="476"/>
      <c r="V78" s="476"/>
      <c r="W78" s="476"/>
      <c r="X78" s="476"/>
      <c r="Y78" s="476"/>
      <c r="Z78" s="476"/>
      <c r="AA78" s="476"/>
      <c r="AB78" s="476"/>
    </row>
    <row r="79" spans="1:28" s="187" customFormat="1" ht="15.75">
      <c r="A79" s="423" t="e">
        <f>'53-CK NSNN'!#REF!</f>
        <v>#REF!</v>
      </c>
      <c r="B79" s="424" t="e">
        <f>'53-CK NSNN'!#REF!</f>
        <v>#REF!</v>
      </c>
      <c r="C79" s="425">
        <f t="shared" si="2"/>
        <v>1700</v>
      </c>
      <c r="D79" s="425"/>
      <c r="E79" s="425"/>
      <c r="F79" s="425"/>
      <c r="G79" s="425"/>
      <c r="H79" s="425"/>
      <c r="I79" s="425"/>
      <c r="J79" s="425"/>
      <c r="K79" s="425"/>
      <c r="L79" s="425"/>
      <c r="M79" s="425"/>
      <c r="N79" s="425"/>
      <c r="O79" s="425"/>
      <c r="P79" s="425"/>
      <c r="Q79" s="425">
        <v>1700</v>
      </c>
      <c r="R79" s="425"/>
      <c r="U79" s="476"/>
      <c r="V79" s="476"/>
      <c r="W79" s="476"/>
      <c r="X79" s="476"/>
      <c r="Y79" s="476"/>
      <c r="Z79" s="476"/>
      <c r="AA79" s="476"/>
      <c r="AB79" s="476"/>
    </row>
    <row r="80" spans="1:28" s="39" customFormat="1" ht="15.75">
      <c r="A80" s="76" t="e">
        <f>'53-CK NSNN'!#REF!</f>
        <v>#REF!</v>
      </c>
      <c r="B80" s="221" t="e">
        <f>'53-CK NSNN'!#REF!</f>
        <v>#REF!</v>
      </c>
      <c r="C80" s="191">
        <f t="shared" si="2"/>
        <v>67149.713000000003</v>
      </c>
      <c r="D80" s="191">
        <f>SUM(D81:D91)</f>
        <v>13907.913</v>
      </c>
      <c r="E80" s="191">
        <f t="shared" ref="E80:R80" si="15">SUM(E81:E91)</f>
        <v>0</v>
      </c>
      <c r="F80" s="191">
        <f t="shared" si="15"/>
        <v>0</v>
      </c>
      <c r="G80" s="191">
        <f t="shared" si="15"/>
        <v>0</v>
      </c>
      <c r="H80" s="191">
        <f t="shared" si="15"/>
        <v>0</v>
      </c>
      <c r="I80" s="191">
        <f t="shared" si="15"/>
        <v>28256.799999999999</v>
      </c>
      <c r="J80" s="191">
        <f t="shared" si="15"/>
        <v>0</v>
      </c>
      <c r="K80" s="191">
        <f t="shared" si="15"/>
        <v>17625</v>
      </c>
      <c r="L80" s="191">
        <f t="shared" si="15"/>
        <v>0</v>
      </c>
      <c r="M80" s="191">
        <f t="shared" si="15"/>
        <v>0</v>
      </c>
      <c r="N80" s="191">
        <f t="shared" si="15"/>
        <v>0</v>
      </c>
      <c r="O80" s="191">
        <f t="shared" si="15"/>
        <v>0</v>
      </c>
      <c r="P80" s="191">
        <f t="shared" si="15"/>
        <v>7360</v>
      </c>
      <c r="Q80" s="191">
        <f t="shared" si="15"/>
        <v>0</v>
      </c>
      <c r="R80" s="191">
        <f t="shared" si="15"/>
        <v>0</v>
      </c>
      <c r="U80" s="474"/>
      <c r="V80" s="474"/>
      <c r="W80" s="474"/>
      <c r="X80" s="474"/>
      <c r="Y80" s="474"/>
      <c r="Z80" s="474"/>
      <c r="AA80" s="474"/>
      <c r="AB80" s="474"/>
    </row>
    <row r="81" spans="1:28" s="187" customFormat="1" ht="15.75">
      <c r="A81" s="423" t="e">
        <f>'53-CK NSNN'!#REF!</f>
        <v>#REF!</v>
      </c>
      <c r="B81" s="424" t="e">
        <f>'53-CK NSNN'!#REF!</f>
        <v>#REF!</v>
      </c>
      <c r="C81" s="425">
        <f t="shared" si="2"/>
        <v>10800</v>
      </c>
      <c r="D81" s="425">
        <v>250</v>
      </c>
      <c r="E81" s="425"/>
      <c r="F81" s="425"/>
      <c r="G81" s="425"/>
      <c r="H81" s="425"/>
      <c r="I81" s="425">
        <v>2402</v>
      </c>
      <c r="J81" s="425"/>
      <c r="K81" s="425">
        <v>788</v>
      </c>
      <c r="L81" s="425"/>
      <c r="M81" s="425"/>
      <c r="N81" s="425"/>
      <c r="O81" s="425"/>
      <c r="P81" s="425">
        <f>7320+40</f>
        <v>7360</v>
      </c>
      <c r="Q81" s="425"/>
      <c r="R81" s="425"/>
      <c r="U81" s="476"/>
      <c r="V81" s="476"/>
      <c r="W81" s="476"/>
      <c r="X81" s="476"/>
      <c r="Y81" s="476"/>
      <c r="Z81" s="476"/>
      <c r="AA81" s="476"/>
      <c r="AB81" s="476"/>
    </row>
    <row r="82" spans="1:28" s="187" customFormat="1" ht="15.75">
      <c r="A82" s="423" t="e">
        <f>'53-CK NSNN'!#REF!</f>
        <v>#REF!</v>
      </c>
      <c r="B82" s="424" t="e">
        <f>'53-CK NSNN'!#REF!</f>
        <v>#REF!</v>
      </c>
      <c r="C82" s="425">
        <f t="shared" si="2"/>
        <v>13657.913</v>
      </c>
      <c r="D82" s="425">
        <v>13657.913</v>
      </c>
      <c r="E82" s="425"/>
      <c r="F82" s="425"/>
      <c r="G82" s="425"/>
      <c r="H82" s="425"/>
      <c r="I82" s="425"/>
      <c r="J82" s="425"/>
      <c r="K82" s="425"/>
      <c r="L82" s="425"/>
      <c r="M82" s="425"/>
      <c r="N82" s="425"/>
      <c r="O82" s="425"/>
      <c r="P82" s="425"/>
      <c r="Q82" s="425"/>
      <c r="R82" s="425"/>
      <c r="U82" s="476"/>
      <c r="V82" s="476"/>
      <c r="W82" s="476"/>
      <c r="X82" s="476"/>
      <c r="Y82" s="476"/>
      <c r="Z82" s="476"/>
      <c r="AA82" s="476"/>
      <c r="AB82" s="476"/>
    </row>
    <row r="83" spans="1:28" s="187" customFormat="1" ht="15.75">
      <c r="A83" s="423" t="e">
        <f>'53-CK NSNN'!#REF!</f>
        <v>#REF!</v>
      </c>
      <c r="B83" s="424" t="e">
        <f>'53-CK NSNN'!#REF!</f>
        <v>#REF!</v>
      </c>
      <c r="C83" s="425">
        <f t="shared" si="2"/>
        <v>16837</v>
      </c>
      <c r="D83" s="425"/>
      <c r="E83" s="425"/>
      <c r="F83" s="425"/>
      <c r="G83" s="425"/>
      <c r="H83" s="425"/>
      <c r="I83" s="425"/>
      <c r="J83" s="425"/>
      <c r="K83" s="425">
        <v>16837</v>
      </c>
      <c r="L83" s="425"/>
      <c r="M83" s="425"/>
      <c r="N83" s="425"/>
      <c r="O83" s="425"/>
      <c r="P83" s="425"/>
      <c r="Q83" s="425"/>
      <c r="R83" s="425"/>
      <c r="U83" s="476"/>
      <c r="V83" s="476"/>
      <c r="W83" s="476"/>
      <c r="X83" s="476"/>
      <c r="Y83" s="476"/>
      <c r="Z83" s="476"/>
      <c r="AA83" s="476"/>
      <c r="AB83" s="476"/>
    </row>
    <row r="84" spans="1:28" s="187" customFormat="1" ht="15.75">
      <c r="A84" s="423" t="e">
        <f>'53-CK NSNN'!#REF!</f>
        <v>#REF!</v>
      </c>
      <c r="B84" s="424" t="e">
        <f>'53-CK NSNN'!#REF!</f>
        <v>#REF!</v>
      </c>
      <c r="C84" s="425">
        <f t="shared" si="2"/>
        <v>1809</v>
      </c>
      <c r="D84" s="425"/>
      <c r="E84" s="425"/>
      <c r="F84" s="425"/>
      <c r="G84" s="425"/>
      <c r="H84" s="425"/>
      <c r="I84" s="425">
        <v>1809</v>
      </c>
      <c r="J84" s="425"/>
      <c r="K84" s="425"/>
      <c r="L84" s="425"/>
      <c r="M84" s="425"/>
      <c r="N84" s="425"/>
      <c r="O84" s="425"/>
      <c r="P84" s="425"/>
      <c r="Q84" s="425"/>
      <c r="R84" s="425"/>
      <c r="U84" s="476"/>
      <c r="V84" s="476"/>
      <c r="W84" s="476"/>
      <c r="X84" s="476"/>
      <c r="Y84" s="476"/>
      <c r="Z84" s="476"/>
      <c r="AA84" s="476"/>
      <c r="AB84" s="476"/>
    </row>
    <row r="85" spans="1:28" s="187" customFormat="1" ht="15.75">
      <c r="A85" s="423" t="e">
        <f>'53-CK NSNN'!#REF!</f>
        <v>#REF!</v>
      </c>
      <c r="B85" s="424" t="e">
        <f>'53-CK NSNN'!#REF!</f>
        <v>#REF!</v>
      </c>
      <c r="C85" s="425">
        <f t="shared" si="2"/>
        <v>1960</v>
      </c>
      <c r="D85" s="425"/>
      <c r="E85" s="425"/>
      <c r="F85" s="425"/>
      <c r="G85" s="425"/>
      <c r="H85" s="425"/>
      <c r="I85" s="425">
        <v>1960</v>
      </c>
      <c r="J85" s="425"/>
      <c r="K85" s="425"/>
      <c r="L85" s="425"/>
      <c r="M85" s="425"/>
      <c r="N85" s="425"/>
      <c r="O85" s="425"/>
      <c r="P85" s="425"/>
      <c r="Q85" s="425"/>
      <c r="R85" s="425"/>
      <c r="U85" s="476"/>
      <c r="V85" s="476"/>
      <c r="W85" s="476"/>
      <c r="X85" s="476"/>
      <c r="Y85" s="476"/>
      <c r="Z85" s="476"/>
      <c r="AA85" s="476"/>
      <c r="AB85" s="476"/>
    </row>
    <row r="86" spans="1:28" s="187" customFormat="1" ht="15.75">
      <c r="A86" s="423" t="e">
        <f>'53-CK NSNN'!#REF!</f>
        <v>#REF!</v>
      </c>
      <c r="B86" s="424" t="e">
        <f>'53-CK NSNN'!#REF!</f>
        <v>#REF!</v>
      </c>
      <c r="C86" s="425">
        <f t="shared" si="2"/>
        <v>5508</v>
      </c>
      <c r="D86" s="425"/>
      <c r="E86" s="425"/>
      <c r="F86" s="425"/>
      <c r="G86" s="425"/>
      <c r="H86" s="425"/>
      <c r="I86" s="425">
        <v>5508</v>
      </c>
      <c r="J86" s="425"/>
      <c r="K86" s="425"/>
      <c r="L86" s="425"/>
      <c r="M86" s="425"/>
      <c r="N86" s="425"/>
      <c r="O86" s="425"/>
      <c r="P86" s="425"/>
      <c r="Q86" s="425"/>
      <c r="R86" s="425"/>
      <c r="U86" s="476"/>
      <c r="V86" s="476"/>
      <c r="W86" s="476"/>
      <c r="X86" s="476"/>
      <c r="Y86" s="476"/>
      <c r="Z86" s="476"/>
      <c r="AA86" s="476"/>
      <c r="AB86" s="476"/>
    </row>
    <row r="87" spans="1:28" s="187" customFormat="1" ht="15.75">
      <c r="A87" s="423" t="e">
        <f>'53-CK NSNN'!#REF!</f>
        <v>#REF!</v>
      </c>
      <c r="B87" s="424" t="e">
        <f>'53-CK NSNN'!#REF!</f>
        <v>#REF!</v>
      </c>
      <c r="C87" s="425">
        <f t="shared" si="2"/>
        <v>4633.8</v>
      </c>
      <c r="D87" s="425"/>
      <c r="E87" s="425"/>
      <c r="F87" s="425"/>
      <c r="G87" s="425"/>
      <c r="H87" s="425"/>
      <c r="I87" s="425">
        <v>4633.8</v>
      </c>
      <c r="J87" s="425"/>
      <c r="K87" s="425"/>
      <c r="L87" s="425"/>
      <c r="M87" s="425"/>
      <c r="N87" s="425"/>
      <c r="O87" s="425"/>
      <c r="P87" s="425"/>
      <c r="Q87" s="425"/>
      <c r="R87" s="425"/>
      <c r="U87" s="476"/>
      <c r="V87" s="476"/>
      <c r="W87" s="476"/>
      <c r="X87" s="476"/>
      <c r="Y87" s="476"/>
      <c r="Z87" s="476"/>
      <c r="AA87" s="476"/>
      <c r="AB87" s="476"/>
    </row>
    <row r="88" spans="1:28" s="187" customFormat="1" ht="15.75">
      <c r="A88" s="423" t="e">
        <f>'53-CK NSNN'!#REF!</f>
        <v>#REF!</v>
      </c>
      <c r="B88" s="424" t="e">
        <f>'53-CK NSNN'!#REF!</f>
        <v>#REF!</v>
      </c>
      <c r="C88" s="425">
        <f t="shared" si="2"/>
        <v>5339</v>
      </c>
      <c r="D88" s="425"/>
      <c r="E88" s="425"/>
      <c r="F88" s="425"/>
      <c r="G88" s="425"/>
      <c r="H88" s="425"/>
      <c r="I88" s="425">
        <v>5339</v>
      </c>
      <c r="J88" s="425"/>
      <c r="K88" s="425"/>
      <c r="L88" s="425"/>
      <c r="M88" s="425"/>
      <c r="N88" s="425"/>
      <c r="O88" s="425"/>
      <c r="P88" s="425"/>
      <c r="Q88" s="425"/>
      <c r="R88" s="425"/>
      <c r="U88" s="476"/>
      <c r="V88" s="476"/>
      <c r="W88" s="476"/>
      <c r="X88" s="476"/>
      <c r="Y88" s="476"/>
      <c r="Z88" s="476"/>
      <c r="AA88" s="476"/>
      <c r="AB88" s="476"/>
    </row>
    <row r="89" spans="1:28" s="187" customFormat="1" ht="15.75">
      <c r="A89" s="423" t="e">
        <f>'53-CK NSNN'!#REF!</f>
        <v>#REF!</v>
      </c>
      <c r="B89" s="424" t="e">
        <f>'53-CK NSNN'!#REF!</f>
        <v>#REF!</v>
      </c>
      <c r="C89" s="425">
        <f t="shared" si="2"/>
        <v>3242</v>
      </c>
      <c r="D89" s="425"/>
      <c r="E89" s="425"/>
      <c r="F89" s="425"/>
      <c r="G89" s="425"/>
      <c r="H89" s="425"/>
      <c r="I89" s="425">
        <v>3242</v>
      </c>
      <c r="J89" s="425"/>
      <c r="K89" s="425"/>
      <c r="L89" s="425"/>
      <c r="M89" s="425"/>
      <c r="N89" s="425"/>
      <c r="O89" s="425"/>
      <c r="P89" s="425"/>
      <c r="Q89" s="425"/>
      <c r="R89" s="425"/>
      <c r="U89" s="476"/>
      <c r="V89" s="476"/>
      <c r="W89" s="476"/>
      <c r="X89" s="476"/>
      <c r="Y89" s="476"/>
      <c r="Z89" s="476"/>
      <c r="AA89" s="476"/>
      <c r="AB89" s="476"/>
    </row>
    <row r="90" spans="1:28" s="187" customFormat="1" ht="15.75">
      <c r="A90" s="423" t="e">
        <f>'53-CK NSNN'!#REF!</f>
        <v>#REF!</v>
      </c>
      <c r="B90" s="424" t="e">
        <f>'53-CK NSNN'!#REF!</f>
        <v>#REF!</v>
      </c>
      <c r="C90" s="425">
        <f t="shared" si="2"/>
        <v>1400</v>
      </c>
      <c r="D90" s="425"/>
      <c r="E90" s="425"/>
      <c r="F90" s="425"/>
      <c r="G90" s="425"/>
      <c r="H90" s="425"/>
      <c r="I90" s="425">
        <v>1400</v>
      </c>
      <c r="J90" s="425"/>
      <c r="K90" s="425"/>
      <c r="L90" s="425"/>
      <c r="M90" s="425"/>
      <c r="N90" s="425"/>
      <c r="O90" s="425"/>
      <c r="P90" s="425"/>
      <c r="Q90" s="425"/>
      <c r="R90" s="425"/>
      <c r="U90" s="476"/>
      <c r="V90" s="476"/>
      <c r="W90" s="476"/>
      <c r="X90" s="476"/>
      <c r="Y90" s="476"/>
      <c r="Z90" s="476"/>
      <c r="AA90" s="476"/>
      <c r="AB90" s="476"/>
    </row>
    <row r="91" spans="1:28" s="187" customFormat="1" ht="15.75">
      <c r="A91" s="423" t="e">
        <f>'53-CK NSNN'!#REF!</f>
        <v>#REF!</v>
      </c>
      <c r="B91" s="424" t="e">
        <f>'53-CK NSNN'!#REF!</f>
        <v>#REF!</v>
      </c>
      <c r="C91" s="425">
        <f t="shared" si="2"/>
        <v>1963</v>
      </c>
      <c r="D91" s="425"/>
      <c r="E91" s="425"/>
      <c r="F91" s="425"/>
      <c r="G91" s="425"/>
      <c r="H91" s="425"/>
      <c r="I91" s="425">
        <v>1963</v>
      </c>
      <c r="J91" s="425"/>
      <c r="K91" s="425"/>
      <c r="L91" s="425"/>
      <c r="M91" s="425"/>
      <c r="N91" s="425"/>
      <c r="O91" s="425"/>
      <c r="P91" s="425"/>
      <c r="Q91" s="425"/>
      <c r="R91" s="425"/>
      <c r="U91" s="476"/>
      <c r="V91" s="476"/>
      <c r="W91" s="476"/>
      <c r="X91" s="476"/>
      <c r="Y91" s="476"/>
      <c r="Z91" s="476"/>
      <c r="AA91" s="476"/>
      <c r="AB91" s="476"/>
    </row>
    <row r="92" spans="1:28" s="39" customFormat="1" ht="15.75">
      <c r="A92" s="76" t="e">
        <f>'53-CK NSNN'!#REF!</f>
        <v>#REF!</v>
      </c>
      <c r="B92" s="221" t="e">
        <f>'53-CK NSNN'!#REF!</f>
        <v>#REF!</v>
      </c>
      <c r="C92" s="191">
        <f t="shared" si="2"/>
        <v>81224.07699999999</v>
      </c>
      <c r="D92" s="191">
        <v>140</v>
      </c>
      <c r="E92" s="191"/>
      <c r="F92" s="191"/>
      <c r="G92" s="191"/>
      <c r="H92" s="191"/>
      <c r="I92" s="191"/>
      <c r="J92" s="191"/>
      <c r="K92" s="191"/>
      <c r="L92" s="191">
        <v>34364.254000000001</v>
      </c>
      <c r="M92" s="191">
        <f>9000+30533.923</f>
        <v>39533.922999999995</v>
      </c>
      <c r="N92" s="191"/>
      <c r="O92" s="191"/>
      <c r="P92" s="191">
        <v>7185.9</v>
      </c>
      <c r="Q92" s="191"/>
      <c r="R92" s="191"/>
      <c r="U92" s="474"/>
      <c r="V92" s="474"/>
      <c r="W92" s="474"/>
      <c r="X92" s="474"/>
      <c r="Y92" s="474"/>
      <c r="Z92" s="474"/>
      <c r="AA92" s="474"/>
      <c r="AB92" s="474"/>
    </row>
    <row r="93" spans="1:28" s="39" customFormat="1" ht="15.75">
      <c r="A93" s="76" t="e">
        <f>'53-CK NSNN'!#REF!</f>
        <v>#REF!</v>
      </c>
      <c r="B93" s="221" t="e">
        <f>'53-CK NSNN'!#REF!</f>
        <v>#REF!</v>
      </c>
      <c r="C93" s="191">
        <f t="shared" si="2"/>
        <v>7881.5609999999997</v>
      </c>
      <c r="D93" s="191">
        <v>80</v>
      </c>
      <c r="E93" s="191"/>
      <c r="F93" s="191"/>
      <c r="G93" s="191"/>
      <c r="H93" s="191"/>
      <c r="I93" s="191"/>
      <c r="J93" s="191"/>
      <c r="K93" s="191"/>
      <c r="L93" s="191"/>
      <c r="M93" s="191"/>
      <c r="N93" s="191"/>
      <c r="O93" s="191"/>
      <c r="P93" s="191">
        <f>7561.561+240</f>
        <v>7801.5609999999997</v>
      </c>
      <c r="Q93" s="191"/>
      <c r="R93" s="191"/>
      <c r="U93" s="474"/>
      <c r="V93" s="474"/>
      <c r="W93" s="474"/>
      <c r="X93" s="474"/>
      <c r="Y93" s="474"/>
      <c r="Z93" s="474"/>
      <c r="AA93" s="474"/>
      <c r="AB93" s="474"/>
    </row>
    <row r="94" spans="1:28" s="39" customFormat="1" ht="15.75">
      <c r="A94" s="76" t="e">
        <f>'53-CK NSNN'!#REF!</f>
        <v>#REF!</v>
      </c>
      <c r="B94" s="221" t="e">
        <f>'53-CK NSNN'!#REF!</f>
        <v>#REF!</v>
      </c>
      <c r="C94" s="191">
        <f t="shared" si="2"/>
        <v>48753.2</v>
      </c>
      <c r="D94" s="191">
        <f>SUM(D95:D97)</f>
        <v>20100</v>
      </c>
      <c r="E94" s="191">
        <f t="shared" ref="E94:R94" si="16">SUM(E95:E97)</f>
        <v>0</v>
      </c>
      <c r="F94" s="191">
        <f t="shared" si="16"/>
        <v>0</v>
      </c>
      <c r="G94" s="191">
        <f t="shared" si="16"/>
        <v>0</v>
      </c>
      <c r="H94" s="191">
        <f t="shared" si="16"/>
        <v>0</v>
      </c>
      <c r="I94" s="191">
        <f t="shared" si="16"/>
        <v>0</v>
      </c>
      <c r="J94" s="191">
        <f t="shared" si="16"/>
        <v>0</v>
      </c>
      <c r="K94" s="191">
        <f t="shared" si="16"/>
        <v>0</v>
      </c>
      <c r="L94" s="191">
        <f t="shared" si="16"/>
        <v>0</v>
      </c>
      <c r="M94" s="191">
        <f t="shared" si="16"/>
        <v>6599.8</v>
      </c>
      <c r="N94" s="191">
        <f t="shared" si="16"/>
        <v>0</v>
      </c>
      <c r="O94" s="191">
        <f t="shared" si="16"/>
        <v>0</v>
      </c>
      <c r="P94" s="191">
        <f t="shared" si="16"/>
        <v>22053.4</v>
      </c>
      <c r="Q94" s="191">
        <f t="shared" si="16"/>
        <v>0</v>
      </c>
      <c r="R94" s="191">
        <f t="shared" si="16"/>
        <v>0</v>
      </c>
      <c r="U94" s="474"/>
      <c r="V94" s="474"/>
      <c r="W94" s="474"/>
      <c r="X94" s="474"/>
      <c r="Y94" s="474"/>
      <c r="Z94" s="474"/>
      <c r="AA94" s="474"/>
      <c r="AB94" s="474"/>
    </row>
    <row r="95" spans="1:28" s="39" customFormat="1" ht="15.75">
      <c r="A95" s="76" t="e">
        <f>'53-CK NSNN'!#REF!</f>
        <v>#REF!</v>
      </c>
      <c r="B95" s="221" t="e">
        <f>'53-CK NSNN'!#REF!</f>
        <v>#REF!</v>
      </c>
      <c r="C95" s="421">
        <f t="shared" si="2"/>
        <v>42153.4</v>
      </c>
      <c r="D95" s="421">
        <v>20100</v>
      </c>
      <c r="E95" s="421"/>
      <c r="F95" s="421"/>
      <c r="G95" s="421"/>
      <c r="H95" s="421"/>
      <c r="I95" s="421"/>
      <c r="J95" s="421"/>
      <c r="K95" s="421"/>
      <c r="L95" s="421"/>
      <c r="M95" s="421"/>
      <c r="N95" s="421"/>
      <c r="O95" s="421"/>
      <c r="P95" s="421">
        <v>22053.4</v>
      </c>
      <c r="Q95" s="421"/>
      <c r="R95" s="421"/>
      <c r="U95" s="474"/>
      <c r="V95" s="474"/>
      <c r="W95" s="474"/>
      <c r="X95" s="474"/>
      <c r="Y95" s="474"/>
      <c r="Z95" s="474"/>
      <c r="AA95" s="474"/>
      <c r="AB95" s="474"/>
    </row>
    <row r="96" spans="1:28" s="39" customFormat="1" ht="15.75">
      <c r="A96" s="76" t="e">
        <f>'53-CK NSNN'!#REF!</f>
        <v>#REF!</v>
      </c>
      <c r="B96" s="221" t="e">
        <f>'53-CK NSNN'!#REF!</f>
        <v>#REF!</v>
      </c>
      <c r="C96" s="421">
        <f t="shared" si="2"/>
        <v>4980</v>
      </c>
      <c r="D96" s="421"/>
      <c r="E96" s="421"/>
      <c r="F96" s="421"/>
      <c r="G96" s="421"/>
      <c r="H96" s="421"/>
      <c r="I96" s="421"/>
      <c r="J96" s="421"/>
      <c r="K96" s="421"/>
      <c r="L96" s="421"/>
      <c r="M96" s="421">
        <v>4980</v>
      </c>
      <c r="N96" s="421"/>
      <c r="O96" s="421"/>
      <c r="P96" s="421"/>
      <c r="Q96" s="421"/>
      <c r="R96" s="421"/>
      <c r="U96" s="474"/>
      <c r="V96" s="474"/>
      <c r="W96" s="474"/>
      <c r="X96" s="474"/>
      <c r="Y96" s="474"/>
      <c r="Z96" s="474"/>
      <c r="AA96" s="474"/>
      <c r="AB96" s="474"/>
    </row>
    <row r="97" spans="1:28" s="39" customFormat="1" ht="15.75">
      <c r="A97" s="76" t="e">
        <f>'53-CK NSNN'!#REF!</f>
        <v>#REF!</v>
      </c>
      <c r="B97" s="221" t="e">
        <f>'53-CK NSNN'!#REF!</f>
        <v>#REF!</v>
      </c>
      <c r="C97" s="421">
        <f t="shared" si="2"/>
        <v>1619.8</v>
      </c>
      <c r="D97" s="421"/>
      <c r="E97" s="421"/>
      <c r="F97" s="421"/>
      <c r="G97" s="421"/>
      <c r="H97" s="421"/>
      <c r="I97" s="421"/>
      <c r="J97" s="421"/>
      <c r="K97" s="421"/>
      <c r="L97" s="421"/>
      <c r="M97" s="421">
        <v>1619.8</v>
      </c>
      <c r="N97" s="421"/>
      <c r="O97" s="421"/>
      <c r="P97" s="421"/>
      <c r="Q97" s="421"/>
      <c r="R97" s="421"/>
      <c r="U97" s="474"/>
      <c r="V97" s="474"/>
      <c r="W97" s="474"/>
      <c r="X97" s="474"/>
      <c r="Y97" s="474"/>
      <c r="Z97" s="474"/>
      <c r="AA97" s="474"/>
      <c r="AB97" s="474"/>
    </row>
    <row r="98" spans="1:28" s="39" customFormat="1" ht="15.75">
      <c r="A98" s="76" t="e">
        <f>'53-CK NSNN'!#REF!</f>
        <v>#REF!</v>
      </c>
      <c r="B98" s="221" t="e">
        <f>'53-CK NSNN'!#REF!</f>
        <v>#REF!</v>
      </c>
      <c r="C98" s="191">
        <f t="shared" si="2"/>
        <v>6216.4560000000001</v>
      </c>
      <c r="D98" s="191">
        <v>40</v>
      </c>
      <c r="E98" s="191"/>
      <c r="F98" s="191"/>
      <c r="G98" s="191"/>
      <c r="H98" s="191"/>
      <c r="I98" s="191"/>
      <c r="J98" s="191"/>
      <c r="K98" s="191"/>
      <c r="L98" s="191"/>
      <c r="M98" s="191"/>
      <c r="N98" s="191"/>
      <c r="O98" s="191"/>
      <c r="P98" s="191">
        <v>6176.4560000000001</v>
      </c>
      <c r="Q98" s="191"/>
      <c r="R98" s="191"/>
      <c r="U98" s="474"/>
      <c r="V98" s="474"/>
      <c r="W98" s="474"/>
      <c r="X98" s="474"/>
      <c r="Y98" s="474"/>
      <c r="Z98" s="474"/>
      <c r="AA98" s="474"/>
      <c r="AB98" s="474"/>
    </row>
    <row r="99" spans="1:28" s="39" customFormat="1" ht="15.75">
      <c r="A99" s="76" t="e">
        <f>'53-CK NSNN'!#REF!</f>
        <v>#REF!</v>
      </c>
      <c r="B99" s="221" t="e">
        <f>'53-CK NSNN'!#REF!</f>
        <v>#REF!</v>
      </c>
      <c r="C99" s="191">
        <f t="shared" si="2"/>
        <v>7515.53</v>
      </c>
      <c r="D99" s="191">
        <v>200</v>
      </c>
      <c r="E99" s="191"/>
      <c r="F99" s="191"/>
      <c r="G99" s="191"/>
      <c r="H99" s="191"/>
      <c r="I99" s="191"/>
      <c r="J99" s="191"/>
      <c r="K99" s="191"/>
      <c r="L99" s="191"/>
      <c r="M99" s="191"/>
      <c r="N99" s="191"/>
      <c r="O99" s="191"/>
      <c r="P99" s="191">
        <f>7274.53+X99</f>
        <v>7315.53</v>
      </c>
      <c r="Q99" s="191"/>
      <c r="R99" s="191"/>
      <c r="U99" s="474"/>
      <c r="V99" s="474"/>
      <c r="W99" s="474"/>
      <c r="X99" s="474">
        <v>41</v>
      </c>
      <c r="Y99" s="474"/>
      <c r="Z99" s="474"/>
      <c r="AA99" s="474"/>
      <c r="AB99" s="474"/>
    </row>
    <row r="100" spans="1:28" s="39" customFormat="1" ht="15.75">
      <c r="A100" s="76" t="e">
        <f>'53-CK NSNN'!#REF!</f>
        <v>#REF!</v>
      </c>
      <c r="B100" s="221" t="e">
        <f>'53-CK NSNN'!#REF!</f>
        <v>#REF!</v>
      </c>
      <c r="C100" s="191">
        <f t="shared" si="2"/>
        <v>9500</v>
      </c>
      <c r="D100" s="191"/>
      <c r="E100" s="191"/>
      <c r="F100" s="191"/>
      <c r="G100" s="191"/>
      <c r="H100" s="191"/>
      <c r="I100" s="191"/>
      <c r="J100" s="191">
        <v>9500</v>
      </c>
      <c r="K100" s="191"/>
      <c r="L100" s="191"/>
      <c r="M100" s="191"/>
      <c r="N100" s="191"/>
      <c r="O100" s="191"/>
      <c r="P100" s="191"/>
      <c r="Q100" s="191"/>
      <c r="R100" s="191"/>
      <c r="U100" s="474"/>
      <c r="V100" s="474"/>
      <c r="W100" s="474"/>
      <c r="X100" s="474"/>
      <c r="Y100" s="474"/>
      <c r="Z100" s="474"/>
      <c r="AA100" s="474"/>
      <c r="AB100" s="474"/>
    </row>
    <row r="101" spans="1:28" s="39" customFormat="1" ht="15.75">
      <c r="A101" s="76" t="e">
        <f>'53-CK NSNN'!#REF!</f>
        <v>#REF!</v>
      </c>
      <c r="B101" s="221" t="e">
        <f>'53-CK NSNN'!#REF!</f>
        <v>#REF!</v>
      </c>
      <c r="C101" s="191">
        <f t="shared" si="2"/>
        <v>188845</v>
      </c>
      <c r="D101" s="191"/>
      <c r="E101" s="191"/>
      <c r="F101" s="191"/>
      <c r="G101" s="191"/>
      <c r="H101" s="191">
        <v>50000</v>
      </c>
      <c r="I101" s="191"/>
      <c r="J101" s="191"/>
      <c r="K101" s="191"/>
      <c r="L101" s="191"/>
      <c r="M101" s="191">
        <f>96000+5000</f>
        <v>101000</v>
      </c>
      <c r="N101" s="191"/>
      <c r="O101" s="191"/>
      <c r="P101" s="191"/>
      <c r="Q101" s="191"/>
      <c r="R101" s="191">
        <f>5000+32845</f>
        <v>37845</v>
      </c>
      <c r="U101" s="474"/>
      <c r="V101" s="474"/>
      <c r="W101" s="474"/>
      <c r="X101" s="474"/>
      <c r="Y101" s="474"/>
      <c r="Z101" s="474"/>
      <c r="AA101" s="474"/>
      <c r="AB101" s="474"/>
    </row>
    <row r="102" spans="1:28" s="101" customFormat="1" ht="15.75">
      <c r="A102" s="74" t="e">
        <f>'53-CK NSNN'!#REF!</f>
        <v>#REF!</v>
      </c>
      <c r="B102" s="222" t="e">
        <f>'53-CK NSNN'!#REF!</f>
        <v>#REF!</v>
      </c>
      <c r="C102" s="223">
        <f>C103+C106+C107+C110+C111+C114+C115+C116</f>
        <v>227240.50276400003</v>
      </c>
      <c r="D102" s="223">
        <f t="shared" ref="D102:R102" si="17">D103+D106+D107+D110+D111+D114+D115+D116</f>
        <v>23442</v>
      </c>
      <c r="E102" s="223">
        <f t="shared" si="17"/>
        <v>0</v>
      </c>
      <c r="F102" s="223">
        <f t="shared" si="17"/>
        <v>0</v>
      </c>
      <c r="G102" s="223">
        <f t="shared" si="17"/>
        <v>0</v>
      </c>
      <c r="H102" s="223">
        <f t="shared" si="17"/>
        <v>7960</v>
      </c>
      <c r="I102" s="223">
        <f t="shared" si="17"/>
        <v>2685</v>
      </c>
      <c r="J102" s="223">
        <f t="shared" si="17"/>
        <v>0</v>
      </c>
      <c r="K102" s="223">
        <f t="shared" si="17"/>
        <v>0</v>
      </c>
      <c r="L102" s="223">
        <f t="shared" si="17"/>
        <v>0</v>
      </c>
      <c r="M102" s="223">
        <f t="shared" si="17"/>
        <v>888</v>
      </c>
      <c r="N102" s="223">
        <f t="shared" si="17"/>
        <v>0</v>
      </c>
      <c r="O102" s="223">
        <f t="shared" si="17"/>
        <v>888</v>
      </c>
      <c r="P102" s="223">
        <f t="shared" si="17"/>
        <v>192265.50276400003</v>
      </c>
      <c r="Q102" s="223">
        <f t="shared" si="17"/>
        <v>0</v>
      </c>
      <c r="R102" s="223">
        <f t="shared" si="17"/>
        <v>0</v>
      </c>
      <c r="U102" s="477"/>
      <c r="V102" s="477"/>
      <c r="W102" s="477"/>
      <c r="X102" s="477"/>
      <c r="Y102" s="477"/>
      <c r="Z102" s="477"/>
      <c r="AA102" s="477"/>
      <c r="AB102" s="477"/>
    </row>
    <row r="103" spans="1:28" s="39" customFormat="1" ht="15.75">
      <c r="A103" s="76" t="e">
        <f>'53-CK NSNN'!#REF!</f>
        <v>#REF!</v>
      </c>
      <c r="B103" s="221" t="e">
        <f>'53-CK NSNN'!#REF!</f>
        <v>#REF!</v>
      </c>
      <c r="C103" s="191">
        <f t="shared" si="2"/>
        <v>194008.44476400001</v>
      </c>
      <c r="D103" s="191">
        <f>D104+D105</f>
        <v>14600</v>
      </c>
      <c r="E103" s="191">
        <f t="shared" ref="E103:R103" si="18">E104+E105</f>
        <v>0</v>
      </c>
      <c r="F103" s="191">
        <f t="shared" si="18"/>
        <v>0</v>
      </c>
      <c r="G103" s="191">
        <f t="shared" si="18"/>
        <v>0</v>
      </c>
      <c r="H103" s="191">
        <f t="shared" si="18"/>
        <v>7960</v>
      </c>
      <c r="I103" s="191">
        <f t="shared" si="18"/>
        <v>0</v>
      </c>
      <c r="J103" s="191">
        <f t="shared" si="18"/>
        <v>0</v>
      </c>
      <c r="K103" s="191">
        <f t="shared" si="18"/>
        <v>0</v>
      </c>
      <c r="L103" s="191">
        <f t="shared" si="18"/>
        <v>0</v>
      </c>
      <c r="M103" s="191">
        <f t="shared" si="18"/>
        <v>0</v>
      </c>
      <c r="N103" s="191">
        <f t="shared" si="18"/>
        <v>0</v>
      </c>
      <c r="O103" s="191">
        <f t="shared" si="18"/>
        <v>0</v>
      </c>
      <c r="P103" s="191">
        <f t="shared" si="18"/>
        <v>171448.44476400001</v>
      </c>
      <c r="Q103" s="191">
        <f t="shared" si="18"/>
        <v>0</v>
      </c>
      <c r="R103" s="191">
        <f t="shared" si="18"/>
        <v>0</v>
      </c>
      <c r="U103" s="474">
        <f>+U104+U105</f>
        <v>166231</v>
      </c>
      <c r="V103" s="474">
        <f>+V104+V105</f>
        <v>5787</v>
      </c>
      <c r="W103" s="474">
        <f>+W104+W105</f>
        <v>4300</v>
      </c>
      <c r="X103" s="474">
        <f>+X104+X105</f>
        <v>6704.4447639999999</v>
      </c>
      <c r="Y103" s="474"/>
      <c r="Z103" s="474"/>
      <c r="AA103" s="474"/>
      <c r="AB103" s="474"/>
    </row>
    <row r="104" spans="1:28" s="39" customFormat="1" ht="15.75">
      <c r="A104" s="76" t="e">
        <f>'53-CK NSNN'!#REF!</f>
        <v>#REF!</v>
      </c>
      <c r="B104" s="221" t="e">
        <f>'53-CK NSNN'!#REF!</f>
        <v>#REF!</v>
      </c>
      <c r="C104" s="191">
        <f t="shared" si="2"/>
        <v>188876.271764</v>
      </c>
      <c r="D104" s="191">
        <v>14600</v>
      </c>
      <c r="E104" s="191"/>
      <c r="F104" s="191"/>
      <c r="G104" s="191"/>
      <c r="H104" s="191">
        <v>7960</v>
      </c>
      <c r="I104" s="191"/>
      <c r="J104" s="191"/>
      <c r="K104" s="191"/>
      <c r="L104" s="191"/>
      <c r="M104" s="191"/>
      <c r="N104" s="191"/>
      <c r="O104" s="191"/>
      <c r="P104" s="191">
        <f>+U104-V104+X104+W104</f>
        <v>166316.271764</v>
      </c>
      <c r="Q104" s="191"/>
      <c r="R104" s="191"/>
      <c r="U104" s="474">
        <v>161431</v>
      </c>
      <c r="V104" s="474">
        <f>5787-V105</f>
        <v>5691</v>
      </c>
      <c r="W104" s="474">
        <v>4300</v>
      </c>
      <c r="X104" s="474">
        <f>34+365.5+514.044+3426.254+253.76+1139.318+69.235+474.160764</f>
        <v>6276.2717640000001</v>
      </c>
      <c r="Y104" s="474"/>
      <c r="Z104" s="474"/>
      <c r="AA104" s="474"/>
      <c r="AB104" s="474"/>
    </row>
    <row r="105" spans="1:28" s="39" customFormat="1" ht="15.75">
      <c r="A105" s="76" t="e">
        <f>'53-CK NSNN'!#REF!</f>
        <v>#REF!</v>
      </c>
      <c r="B105" s="221" t="e">
        <f>'53-CK NSNN'!#REF!</f>
        <v>#REF!</v>
      </c>
      <c r="C105" s="191">
        <f t="shared" si="2"/>
        <v>5132.1729999999998</v>
      </c>
      <c r="D105" s="191"/>
      <c r="E105" s="191"/>
      <c r="F105" s="191"/>
      <c r="G105" s="191"/>
      <c r="H105" s="191"/>
      <c r="I105" s="191"/>
      <c r="J105" s="191"/>
      <c r="K105" s="191"/>
      <c r="L105" s="191"/>
      <c r="M105" s="191"/>
      <c r="N105" s="191"/>
      <c r="O105" s="191"/>
      <c r="P105" s="191">
        <f>+U105-V105+X105</f>
        <v>5132.1729999999998</v>
      </c>
      <c r="Q105" s="191"/>
      <c r="R105" s="191"/>
      <c r="U105" s="474">
        <v>4800</v>
      </c>
      <c r="V105" s="474">
        <v>96</v>
      </c>
      <c r="W105" s="474"/>
      <c r="X105" s="474">
        <v>428.173</v>
      </c>
      <c r="Y105" s="474"/>
      <c r="Z105" s="474"/>
      <c r="AA105" s="474"/>
      <c r="AB105" s="474"/>
    </row>
    <row r="106" spans="1:28" s="39" customFormat="1" ht="15.75">
      <c r="A106" s="76" t="e">
        <f>'53-CK NSNN'!#REF!</f>
        <v>#REF!</v>
      </c>
      <c r="B106" s="221" t="e">
        <f>'53-CK NSNN'!#REF!</f>
        <v>#REF!</v>
      </c>
      <c r="C106" s="191">
        <f t="shared" si="2"/>
        <v>4949</v>
      </c>
      <c r="D106" s="191">
        <v>20</v>
      </c>
      <c r="E106" s="191"/>
      <c r="F106" s="191"/>
      <c r="G106" s="191"/>
      <c r="H106" s="191"/>
      <c r="I106" s="191"/>
      <c r="J106" s="191"/>
      <c r="K106" s="191"/>
      <c r="L106" s="191"/>
      <c r="M106" s="191"/>
      <c r="N106" s="191"/>
      <c r="O106" s="191"/>
      <c r="P106" s="191">
        <v>4929</v>
      </c>
      <c r="Q106" s="191"/>
      <c r="R106" s="191"/>
      <c r="U106" s="474"/>
      <c r="V106" s="474"/>
      <c r="W106" s="474"/>
      <c r="X106" s="474"/>
      <c r="Y106" s="474"/>
      <c r="Z106" s="474"/>
      <c r="AA106" s="474"/>
      <c r="AB106" s="474"/>
    </row>
    <row r="107" spans="1:28" s="39" customFormat="1" ht="15.75">
      <c r="A107" s="76" t="e">
        <f>'53-CK NSNN'!#REF!</f>
        <v>#REF!</v>
      </c>
      <c r="B107" s="221" t="e">
        <f>'53-CK NSNN'!#REF!</f>
        <v>#REF!</v>
      </c>
      <c r="C107" s="191">
        <f t="shared" si="2"/>
        <v>6568.5</v>
      </c>
      <c r="D107" s="191">
        <f>SUM(D108:D109)</f>
        <v>40</v>
      </c>
      <c r="E107" s="191">
        <f t="shared" ref="E107:R107" si="19">SUM(E108:E109)</f>
        <v>0</v>
      </c>
      <c r="F107" s="191">
        <f t="shared" si="19"/>
        <v>0</v>
      </c>
      <c r="G107" s="191">
        <f t="shared" si="19"/>
        <v>0</v>
      </c>
      <c r="H107" s="191">
        <f t="shared" si="19"/>
        <v>0</v>
      </c>
      <c r="I107" s="191">
        <f t="shared" si="19"/>
        <v>995</v>
      </c>
      <c r="J107" s="191">
        <f t="shared" si="19"/>
        <v>0</v>
      </c>
      <c r="K107" s="191">
        <f t="shared" si="19"/>
        <v>0</v>
      </c>
      <c r="L107" s="191">
        <f t="shared" si="19"/>
        <v>0</v>
      </c>
      <c r="M107" s="191">
        <f t="shared" si="19"/>
        <v>0</v>
      </c>
      <c r="N107" s="191">
        <f t="shared" si="19"/>
        <v>0</v>
      </c>
      <c r="O107" s="191">
        <f t="shared" si="19"/>
        <v>0</v>
      </c>
      <c r="P107" s="191">
        <f t="shared" si="19"/>
        <v>5533.5</v>
      </c>
      <c r="Q107" s="191">
        <f t="shared" si="19"/>
        <v>0</v>
      </c>
      <c r="R107" s="191">
        <f t="shared" si="19"/>
        <v>0</v>
      </c>
      <c r="U107" s="474"/>
      <c r="V107" s="474"/>
      <c r="W107" s="474"/>
      <c r="X107" s="474"/>
      <c r="Y107" s="474"/>
      <c r="Z107" s="474"/>
      <c r="AA107" s="474"/>
      <c r="AB107" s="474"/>
    </row>
    <row r="108" spans="1:28" s="39" customFormat="1" ht="15.75">
      <c r="A108" s="76" t="e">
        <f>'53-CK NSNN'!#REF!</f>
        <v>#REF!</v>
      </c>
      <c r="B108" s="221" t="e">
        <f>'53-CK NSNN'!#REF!</f>
        <v>#REF!</v>
      </c>
      <c r="C108" s="421">
        <f t="shared" si="2"/>
        <v>5573.5</v>
      </c>
      <c r="D108" s="421">
        <v>40</v>
      </c>
      <c r="E108" s="421"/>
      <c r="F108" s="421"/>
      <c r="G108" s="421"/>
      <c r="H108" s="421"/>
      <c r="I108" s="421"/>
      <c r="J108" s="421"/>
      <c r="K108" s="421"/>
      <c r="L108" s="421"/>
      <c r="M108" s="421"/>
      <c r="N108" s="421"/>
      <c r="O108" s="421"/>
      <c r="P108" s="421">
        <v>5533.5</v>
      </c>
      <c r="Q108" s="421"/>
      <c r="R108" s="421"/>
      <c r="U108" s="474"/>
      <c r="V108" s="474"/>
      <c r="W108" s="474"/>
      <c r="X108" s="474"/>
      <c r="Y108" s="474"/>
      <c r="Z108" s="474"/>
      <c r="AA108" s="474"/>
      <c r="AB108" s="474"/>
    </row>
    <row r="109" spans="1:28" s="39" customFormat="1" ht="15.75">
      <c r="A109" s="76" t="e">
        <f>'53-CK NSNN'!#REF!</f>
        <v>#REF!</v>
      </c>
      <c r="B109" s="221" t="e">
        <f>'53-CK NSNN'!#REF!</f>
        <v>#REF!</v>
      </c>
      <c r="C109" s="421">
        <f t="shared" si="2"/>
        <v>995</v>
      </c>
      <c r="D109" s="421"/>
      <c r="E109" s="421"/>
      <c r="F109" s="421"/>
      <c r="G109" s="421"/>
      <c r="H109" s="421"/>
      <c r="I109" s="421">
        <v>995</v>
      </c>
      <c r="J109" s="421"/>
      <c r="K109" s="421"/>
      <c r="L109" s="421"/>
      <c r="M109" s="421"/>
      <c r="N109" s="421"/>
      <c r="O109" s="421"/>
      <c r="P109" s="421"/>
      <c r="Q109" s="421"/>
      <c r="R109" s="421"/>
      <c r="U109" s="474"/>
      <c r="V109" s="474"/>
      <c r="W109" s="474"/>
      <c r="X109" s="474"/>
      <c r="Y109" s="474"/>
      <c r="Z109" s="474"/>
      <c r="AA109" s="474"/>
      <c r="AB109" s="474"/>
    </row>
    <row r="110" spans="1:28" s="39" customFormat="1" ht="15.75">
      <c r="A110" s="76" t="e">
        <f>'53-CK NSNN'!#REF!</f>
        <v>#REF!</v>
      </c>
      <c r="B110" s="221" t="e">
        <f>'53-CK NSNN'!#REF!</f>
        <v>#REF!</v>
      </c>
      <c r="C110" s="191">
        <f t="shared" si="2"/>
        <v>3781.2</v>
      </c>
      <c r="D110" s="191">
        <v>20</v>
      </c>
      <c r="E110" s="191"/>
      <c r="F110" s="191"/>
      <c r="G110" s="191"/>
      <c r="H110" s="191"/>
      <c r="I110" s="191"/>
      <c r="J110" s="191"/>
      <c r="K110" s="191"/>
      <c r="L110" s="191"/>
      <c r="M110" s="191"/>
      <c r="N110" s="191"/>
      <c r="O110" s="191"/>
      <c r="P110" s="191">
        <v>3761.2</v>
      </c>
      <c r="Q110" s="191"/>
      <c r="R110" s="191"/>
      <c r="U110" s="474"/>
      <c r="V110" s="474"/>
      <c r="W110" s="474"/>
      <c r="X110" s="474"/>
      <c r="Y110" s="474"/>
      <c r="Z110" s="474"/>
      <c r="AA110" s="474"/>
      <c r="AB110" s="474"/>
    </row>
    <row r="111" spans="1:28" s="39" customFormat="1" ht="15.75">
      <c r="A111" s="76" t="e">
        <f>'53-CK NSNN'!#REF!</f>
        <v>#REF!</v>
      </c>
      <c r="B111" s="221" t="e">
        <f>'53-CK NSNN'!#REF!</f>
        <v>#REF!</v>
      </c>
      <c r="C111" s="191">
        <f t="shared" si="2"/>
        <v>5060.3580000000002</v>
      </c>
      <c r="D111" s="191">
        <f>SUM(D112:D113)</f>
        <v>35</v>
      </c>
      <c r="E111" s="191">
        <f t="shared" ref="E111:R111" si="20">SUM(E112:E113)</f>
        <v>0</v>
      </c>
      <c r="F111" s="191">
        <f t="shared" si="20"/>
        <v>0</v>
      </c>
      <c r="G111" s="191">
        <f t="shared" si="20"/>
        <v>0</v>
      </c>
      <c r="H111" s="191">
        <f t="shared" si="20"/>
        <v>0</v>
      </c>
      <c r="I111" s="191">
        <f t="shared" si="20"/>
        <v>0</v>
      </c>
      <c r="J111" s="191">
        <f t="shared" si="20"/>
        <v>0</v>
      </c>
      <c r="K111" s="191">
        <f t="shared" si="20"/>
        <v>0</v>
      </c>
      <c r="L111" s="191">
        <f t="shared" si="20"/>
        <v>0</v>
      </c>
      <c r="M111" s="191">
        <f t="shared" si="20"/>
        <v>888</v>
      </c>
      <c r="N111" s="191">
        <f t="shared" si="20"/>
        <v>0</v>
      </c>
      <c r="O111" s="191">
        <f t="shared" si="20"/>
        <v>888</v>
      </c>
      <c r="P111" s="191">
        <f t="shared" si="20"/>
        <v>4137.3580000000002</v>
      </c>
      <c r="Q111" s="191">
        <f t="shared" si="20"/>
        <v>0</v>
      </c>
      <c r="R111" s="191">
        <f t="shared" si="20"/>
        <v>0</v>
      </c>
      <c r="U111" s="474"/>
      <c r="V111" s="474"/>
      <c r="W111" s="474"/>
      <c r="X111" s="474"/>
      <c r="Y111" s="474"/>
      <c r="Z111" s="474"/>
      <c r="AA111" s="474"/>
      <c r="AB111" s="474"/>
    </row>
    <row r="112" spans="1:28" s="39" customFormat="1" ht="15.75">
      <c r="A112" s="76" t="e">
        <f>'53-CK NSNN'!#REF!</f>
        <v>#REF!</v>
      </c>
      <c r="B112" s="221" t="e">
        <f>'53-CK NSNN'!#REF!</f>
        <v>#REF!</v>
      </c>
      <c r="C112" s="421">
        <f t="shared" si="2"/>
        <v>4167.3580000000002</v>
      </c>
      <c r="D112" s="421">
        <v>30</v>
      </c>
      <c r="E112" s="421"/>
      <c r="F112" s="421"/>
      <c r="G112" s="421"/>
      <c r="H112" s="421"/>
      <c r="I112" s="421"/>
      <c r="J112" s="421"/>
      <c r="K112" s="421"/>
      <c r="L112" s="421"/>
      <c r="M112" s="421"/>
      <c r="N112" s="421"/>
      <c r="O112" s="421"/>
      <c r="P112" s="421">
        <v>4137.3580000000002</v>
      </c>
      <c r="Q112" s="421"/>
      <c r="R112" s="421"/>
      <c r="U112" s="474"/>
      <c r="V112" s="474"/>
      <c r="W112" s="474"/>
      <c r="X112" s="474"/>
      <c r="Y112" s="474"/>
      <c r="Z112" s="474"/>
      <c r="AA112" s="474"/>
      <c r="AB112" s="474"/>
    </row>
    <row r="113" spans="1:28" s="39" customFormat="1" ht="15.75">
      <c r="A113" s="76" t="e">
        <f>'53-CK NSNN'!#REF!</f>
        <v>#REF!</v>
      </c>
      <c r="B113" s="221" t="e">
        <f>'53-CK NSNN'!#REF!</f>
        <v>#REF!</v>
      </c>
      <c r="C113" s="421">
        <f t="shared" si="2"/>
        <v>893</v>
      </c>
      <c r="D113" s="437">
        <v>5</v>
      </c>
      <c r="E113" s="421"/>
      <c r="F113" s="421"/>
      <c r="G113" s="421"/>
      <c r="H113" s="421"/>
      <c r="I113" s="421"/>
      <c r="J113" s="421"/>
      <c r="K113" s="421"/>
      <c r="L113" s="421"/>
      <c r="M113" s="421">
        <f>893-D113</f>
        <v>888</v>
      </c>
      <c r="N113" s="421"/>
      <c r="O113" s="421">
        <f>M113</f>
        <v>888</v>
      </c>
      <c r="P113" s="421"/>
      <c r="Q113" s="421"/>
      <c r="R113" s="421"/>
      <c r="U113" s="474"/>
      <c r="V113" s="474"/>
      <c r="W113" s="474"/>
      <c r="X113" s="474"/>
      <c r="Y113" s="474"/>
      <c r="Z113" s="474"/>
      <c r="AA113" s="474"/>
      <c r="AB113" s="474"/>
    </row>
    <row r="114" spans="1:28" s="39" customFormat="1" ht="15.75">
      <c r="A114" s="76" t="e">
        <f>'53-CK NSNN'!#REF!</f>
        <v>#REF!</v>
      </c>
      <c r="B114" s="221" t="e">
        <f>'53-CK NSNN'!#REF!</f>
        <v>#REF!</v>
      </c>
      <c r="C114" s="191">
        <f t="shared" si="2"/>
        <v>2461</v>
      </c>
      <c r="D114" s="191">
        <v>5</v>
      </c>
      <c r="E114" s="191"/>
      <c r="F114" s="191"/>
      <c r="G114" s="191"/>
      <c r="H114" s="191"/>
      <c r="I114" s="191"/>
      <c r="J114" s="191"/>
      <c r="K114" s="191"/>
      <c r="L114" s="191"/>
      <c r="M114" s="191"/>
      <c r="N114" s="191"/>
      <c r="O114" s="191"/>
      <c r="P114" s="191">
        <v>2456</v>
      </c>
      <c r="Q114" s="191"/>
      <c r="R114" s="191"/>
      <c r="U114" s="474"/>
      <c r="V114" s="474"/>
      <c r="W114" s="474"/>
      <c r="X114" s="474"/>
      <c r="Y114" s="474"/>
      <c r="Z114" s="474"/>
      <c r="AA114" s="474"/>
      <c r="AB114" s="474"/>
    </row>
    <row r="115" spans="1:28" ht="15.75">
      <c r="A115" s="76" t="e">
        <f>'53-CK NSNN'!#REF!</f>
        <v>#REF!</v>
      </c>
      <c r="B115" s="221" t="e">
        <f>'53-CK NSNN'!#REF!</f>
        <v>#REF!</v>
      </c>
      <c r="C115" s="191">
        <f t="shared" si="2"/>
        <v>8712</v>
      </c>
      <c r="D115" s="191">
        <v>8712</v>
      </c>
      <c r="E115" s="191"/>
      <c r="F115" s="191"/>
      <c r="G115" s="191"/>
      <c r="H115" s="191"/>
      <c r="I115" s="191"/>
      <c r="J115" s="191"/>
      <c r="K115" s="191"/>
      <c r="L115" s="191"/>
      <c r="M115" s="191"/>
      <c r="N115" s="191"/>
      <c r="O115" s="191"/>
      <c r="P115" s="191"/>
      <c r="Q115" s="191"/>
      <c r="R115" s="191"/>
    </row>
    <row r="116" spans="1:28" ht="15.75">
      <c r="A116" s="76" t="e">
        <f>'53-CK NSNN'!#REF!</f>
        <v>#REF!</v>
      </c>
      <c r="B116" s="221" t="e">
        <f>'53-CK NSNN'!#REF!</f>
        <v>#REF!</v>
      </c>
      <c r="C116" s="191">
        <f t="shared" si="2"/>
        <v>1700</v>
      </c>
      <c r="D116" s="191">
        <v>10</v>
      </c>
      <c r="E116" s="191"/>
      <c r="F116" s="191"/>
      <c r="G116" s="191"/>
      <c r="H116" s="191"/>
      <c r="I116" s="191">
        <v>1690</v>
      </c>
      <c r="J116" s="191"/>
      <c r="K116" s="191"/>
      <c r="L116" s="191"/>
      <c r="M116" s="191"/>
      <c r="N116" s="191"/>
      <c r="O116" s="191"/>
      <c r="P116" s="191"/>
      <c r="Q116" s="191"/>
      <c r="R116" s="191"/>
    </row>
    <row r="117" spans="1:28" s="101" customFormat="1" ht="15.75">
      <c r="A117" s="74" t="e">
        <f>'53-CK NSNN'!#REF!</f>
        <v>#REF!</v>
      </c>
      <c r="B117" s="222" t="e">
        <f>'53-CK NSNN'!#REF!</f>
        <v>#REF!</v>
      </c>
      <c r="C117" s="223">
        <f>SUM(C118:C120)</f>
        <v>77623.731600000014</v>
      </c>
      <c r="D117" s="223">
        <f t="shared" ref="D117:R117" si="21">SUM(D118:D120)</f>
        <v>9500</v>
      </c>
      <c r="E117" s="223">
        <f t="shared" si="21"/>
        <v>0</v>
      </c>
      <c r="F117" s="223">
        <f t="shared" si="21"/>
        <v>56308.931599999996</v>
      </c>
      <c r="G117" s="223">
        <f t="shared" si="21"/>
        <v>7684.25</v>
      </c>
      <c r="H117" s="223">
        <f t="shared" si="21"/>
        <v>0</v>
      </c>
      <c r="I117" s="223">
        <f t="shared" si="21"/>
        <v>0</v>
      </c>
      <c r="J117" s="223">
        <f t="shared" si="21"/>
        <v>0</v>
      </c>
      <c r="K117" s="223">
        <f t="shared" si="21"/>
        <v>0</v>
      </c>
      <c r="L117" s="223">
        <f t="shared" si="21"/>
        <v>1650</v>
      </c>
      <c r="M117" s="223">
        <f t="shared" si="21"/>
        <v>0</v>
      </c>
      <c r="N117" s="223">
        <f t="shared" si="21"/>
        <v>0</v>
      </c>
      <c r="O117" s="223">
        <f t="shared" si="21"/>
        <v>0</v>
      </c>
      <c r="P117" s="223">
        <f t="shared" si="21"/>
        <v>0</v>
      </c>
      <c r="Q117" s="223">
        <f t="shared" si="21"/>
        <v>0</v>
      </c>
      <c r="R117" s="223">
        <f t="shared" si="21"/>
        <v>2480.5500000000002</v>
      </c>
      <c r="U117" s="477"/>
      <c r="V117" s="477"/>
      <c r="W117" s="477"/>
      <c r="X117" s="477"/>
      <c r="Y117" s="477"/>
      <c r="Z117" s="477"/>
      <c r="AA117" s="477"/>
      <c r="AB117" s="477"/>
    </row>
    <row r="118" spans="1:28" ht="15.75">
      <c r="A118" s="76" t="e">
        <f>'53-CK NSNN'!#REF!</f>
        <v>#REF!</v>
      </c>
      <c r="B118" s="221" t="e">
        <f>'53-CK NSNN'!#REF!</f>
        <v>#REF!</v>
      </c>
      <c r="C118" s="191">
        <f>D118+E118+F118+G118+H118+I118+J118+K118+L118+M118+P118+Q118+R118</f>
        <v>11234.25</v>
      </c>
      <c r="D118" s="191">
        <v>1900</v>
      </c>
      <c r="E118" s="191"/>
      <c r="F118" s="191"/>
      <c r="G118" s="191">
        <f>U118-V118+X118</f>
        <v>7684.25</v>
      </c>
      <c r="H118" s="191"/>
      <c r="I118" s="191"/>
      <c r="J118" s="191"/>
      <c r="K118" s="191"/>
      <c r="L118" s="191">
        <v>1650</v>
      </c>
      <c r="M118" s="191"/>
      <c r="N118" s="191"/>
      <c r="O118" s="191"/>
      <c r="P118" s="191"/>
      <c r="Q118" s="191"/>
      <c r="R118" s="191"/>
      <c r="U118" s="474">
        <v>7430</v>
      </c>
      <c r="V118" s="474">
        <v>567</v>
      </c>
      <c r="X118" s="474">
        <f>561.6+259.65</f>
        <v>821.25</v>
      </c>
    </row>
    <row r="119" spans="1:28" ht="15.75">
      <c r="A119" s="76" t="e">
        <f>'53-CK NSNN'!#REF!</f>
        <v>#REF!</v>
      </c>
      <c r="B119" s="221" t="e">
        <f>'53-CK NSNN'!#REF!</f>
        <v>#REF!</v>
      </c>
      <c r="C119" s="191">
        <f t="shared" ref="C119:C142" si="22">D119+E119+F119+G119+H119+I119+J119+K119+L119+M119+P119+Q119+R119</f>
        <v>59875.040000000001</v>
      </c>
      <c r="D119" s="191">
        <v>7200</v>
      </c>
      <c r="E119" s="191"/>
      <c r="F119" s="191">
        <f>U119-V119+X119</f>
        <v>51839.24</v>
      </c>
      <c r="G119" s="191"/>
      <c r="H119" s="191"/>
      <c r="I119" s="191"/>
      <c r="J119" s="191"/>
      <c r="K119" s="191"/>
      <c r="L119" s="191"/>
      <c r="M119" s="191"/>
      <c r="N119" s="191"/>
      <c r="O119" s="191"/>
      <c r="P119" s="191"/>
      <c r="Q119" s="191"/>
      <c r="R119" s="191">
        <f>Z119</f>
        <v>835.8</v>
      </c>
      <c r="U119" s="474">
        <v>39135</v>
      </c>
      <c r="V119" s="474">
        <v>998.4</v>
      </c>
      <c r="X119" s="474">
        <f>13623+79.64</f>
        <v>13702.64</v>
      </c>
      <c r="Z119" s="474">
        <f>100+735.8</f>
        <v>835.8</v>
      </c>
    </row>
    <row r="120" spans="1:28" ht="15.75">
      <c r="A120" s="76" t="e">
        <f>'53-CK NSNN'!#REF!</f>
        <v>#REF!</v>
      </c>
      <c r="B120" s="221" t="e">
        <f>'53-CK NSNN'!#REF!</f>
        <v>#REF!</v>
      </c>
      <c r="C120" s="191">
        <f t="shared" si="22"/>
        <v>6514.4416000000001</v>
      </c>
      <c r="D120" s="191">
        <v>400</v>
      </c>
      <c r="E120" s="191"/>
      <c r="F120" s="191">
        <f>U120-V120+X120</f>
        <v>4469.6916000000001</v>
      </c>
      <c r="G120" s="191"/>
      <c r="H120" s="191"/>
      <c r="I120" s="191"/>
      <c r="J120" s="191"/>
      <c r="K120" s="191"/>
      <c r="L120" s="191"/>
      <c r="M120" s="191"/>
      <c r="N120" s="191"/>
      <c r="O120" s="191"/>
      <c r="P120" s="191"/>
      <c r="Q120" s="191"/>
      <c r="R120" s="191">
        <f>+Z120</f>
        <v>1644.75</v>
      </c>
      <c r="U120" s="474">
        <v>3534</v>
      </c>
      <c r="V120" s="474">
        <v>296.39999999999998</v>
      </c>
      <c r="X120" s="474">
        <f>47.0916+1185</f>
        <v>1232.0916</v>
      </c>
      <c r="Z120" s="474">
        <f>900+744.75</f>
        <v>1644.75</v>
      </c>
    </row>
    <row r="121" spans="1:28" s="101" customFormat="1" ht="15.75">
      <c r="A121" s="74" t="e">
        <f>'53-CK NSNN'!#REF!</f>
        <v>#REF!</v>
      </c>
      <c r="B121" s="222" t="e">
        <f>'53-CK NSNN'!#REF!</f>
        <v>#REF!</v>
      </c>
      <c r="C121" s="223">
        <f t="shared" si="22"/>
        <v>242096.21900999994</v>
      </c>
      <c r="D121" s="223"/>
      <c r="E121" s="223"/>
      <c r="F121" s="223"/>
      <c r="G121" s="223"/>
      <c r="H121" s="223">
        <f>'Cac DT BHYT'!D22</f>
        <v>242096.21900999994</v>
      </c>
      <c r="I121" s="223"/>
      <c r="J121" s="223"/>
      <c r="K121" s="223"/>
      <c r="L121" s="223"/>
      <c r="M121" s="223"/>
      <c r="N121" s="223"/>
      <c r="O121" s="223"/>
      <c r="P121" s="223"/>
      <c r="Q121" s="223"/>
      <c r="R121" s="223"/>
      <c r="U121" s="477"/>
      <c r="V121" s="477"/>
      <c r="W121" s="477"/>
      <c r="X121" s="477"/>
      <c r="Y121" s="477"/>
      <c r="Z121" s="477"/>
      <c r="AA121" s="477"/>
      <c r="AB121" s="477"/>
    </row>
    <row r="122" spans="1:28" s="101" customFormat="1" ht="15.75">
      <c r="A122" s="74" t="e">
        <f>'53-CK NSNN'!#REF!</f>
        <v>#REF!</v>
      </c>
      <c r="B122" s="222" t="e">
        <f>'53-CK NSNN'!#REF!</f>
        <v>#REF!</v>
      </c>
      <c r="C122" s="223">
        <f t="shared" ref="C122:R122" si="23">SUM(C123:C142)</f>
        <v>36565.402999999998</v>
      </c>
      <c r="D122" s="223">
        <f t="shared" si="23"/>
        <v>80</v>
      </c>
      <c r="E122" s="223">
        <f t="shared" si="23"/>
        <v>0</v>
      </c>
      <c r="F122" s="223">
        <f t="shared" si="23"/>
        <v>0</v>
      </c>
      <c r="G122" s="223">
        <f t="shared" si="23"/>
        <v>0</v>
      </c>
      <c r="H122" s="223">
        <f t="shared" si="23"/>
        <v>0</v>
      </c>
      <c r="I122" s="223">
        <f t="shared" si="23"/>
        <v>0</v>
      </c>
      <c r="J122" s="223">
        <f t="shared" si="23"/>
        <v>0</v>
      </c>
      <c r="K122" s="223">
        <f t="shared" si="23"/>
        <v>0</v>
      </c>
      <c r="L122" s="223">
        <f t="shared" si="23"/>
        <v>0</v>
      </c>
      <c r="M122" s="223">
        <f t="shared" si="23"/>
        <v>0</v>
      </c>
      <c r="N122" s="223">
        <f t="shared" si="23"/>
        <v>0</v>
      </c>
      <c r="O122" s="223">
        <f t="shared" si="23"/>
        <v>0</v>
      </c>
      <c r="P122" s="223">
        <f t="shared" si="23"/>
        <v>13449.323</v>
      </c>
      <c r="Q122" s="223">
        <f t="shared" si="23"/>
        <v>0</v>
      </c>
      <c r="R122" s="223">
        <f t="shared" si="23"/>
        <v>23036.080000000002</v>
      </c>
      <c r="U122" s="477"/>
      <c r="V122" s="477"/>
      <c r="W122" s="477"/>
      <c r="X122" s="477"/>
      <c r="Y122" s="477"/>
      <c r="Z122" s="477"/>
      <c r="AA122" s="477"/>
      <c r="AB122" s="477"/>
    </row>
    <row r="123" spans="1:28" ht="15.75">
      <c r="A123" s="76" t="e">
        <f>'53-CK NSNN'!#REF!</f>
        <v>#REF!</v>
      </c>
      <c r="B123" s="221" t="e">
        <f>'53-CK NSNN'!#REF!</f>
        <v>#REF!</v>
      </c>
      <c r="C123" s="191">
        <f t="shared" si="22"/>
        <v>112.5</v>
      </c>
      <c r="D123" s="191"/>
      <c r="E123" s="191"/>
      <c r="F123" s="191"/>
      <c r="G123" s="191"/>
      <c r="H123" s="191"/>
      <c r="I123" s="191"/>
      <c r="J123" s="191"/>
      <c r="K123" s="191"/>
      <c r="L123" s="191"/>
      <c r="M123" s="191"/>
      <c r="N123" s="191"/>
      <c r="O123" s="191"/>
      <c r="P123" s="191"/>
      <c r="Q123" s="191"/>
      <c r="R123" s="191">
        <f>Z123+U123-V123</f>
        <v>112.5</v>
      </c>
      <c r="U123" s="474">
        <v>100</v>
      </c>
      <c r="V123" s="474">
        <v>10</v>
      </c>
      <c r="Z123" s="474">
        <v>22.5</v>
      </c>
    </row>
    <row r="124" spans="1:28" ht="15.75">
      <c r="A124" s="76" t="e">
        <f>'53-CK NSNN'!#REF!</f>
        <v>#REF!</v>
      </c>
      <c r="B124" s="221" t="e">
        <f>'53-CK NSNN'!#REF!</f>
        <v>#REF!</v>
      </c>
      <c r="C124" s="191">
        <f t="shared" si="22"/>
        <v>410.6</v>
      </c>
      <c r="D124" s="191"/>
      <c r="E124" s="191"/>
      <c r="F124" s="191"/>
      <c r="G124" s="191"/>
      <c r="H124" s="191"/>
      <c r="I124" s="191"/>
      <c r="J124" s="191"/>
      <c r="K124" s="191"/>
      <c r="L124" s="191"/>
      <c r="M124" s="191"/>
      <c r="N124" s="191"/>
      <c r="O124" s="191"/>
      <c r="P124" s="191">
        <f>U124-V124</f>
        <v>410.6</v>
      </c>
      <c r="Q124" s="191"/>
      <c r="R124" s="191"/>
      <c r="U124" s="474">
        <v>421</v>
      </c>
      <c r="V124" s="474">
        <v>10.4</v>
      </c>
    </row>
    <row r="125" spans="1:28" ht="15.75">
      <c r="A125" s="76"/>
      <c r="B125" s="221" t="e">
        <f>'53-CK NSNN'!#REF!</f>
        <v>#REF!</v>
      </c>
      <c r="C125" s="191">
        <f t="shared" si="22"/>
        <v>10915</v>
      </c>
      <c r="D125" s="191"/>
      <c r="E125" s="191"/>
      <c r="F125" s="191"/>
      <c r="G125" s="191"/>
      <c r="H125" s="191"/>
      <c r="I125" s="191"/>
      <c r="J125" s="191"/>
      <c r="K125" s="191"/>
      <c r="L125" s="191"/>
      <c r="M125" s="191"/>
      <c r="N125" s="191"/>
      <c r="O125" s="191"/>
      <c r="P125" s="191"/>
      <c r="Q125" s="191"/>
      <c r="R125" s="191">
        <f>Z125</f>
        <v>10915</v>
      </c>
      <c r="Z125" s="474">
        <v>10915</v>
      </c>
    </row>
    <row r="126" spans="1:28" ht="15.75">
      <c r="A126" s="76" t="e">
        <f>'53-CK NSNN'!#REF!</f>
        <v>#REF!</v>
      </c>
      <c r="B126" s="221" t="e">
        <f>'53-CK NSNN'!#REF!</f>
        <v>#REF!</v>
      </c>
      <c r="C126" s="191">
        <f t="shared" si="22"/>
        <v>7022</v>
      </c>
      <c r="D126" s="191">
        <v>40</v>
      </c>
      <c r="E126" s="191"/>
      <c r="F126" s="191"/>
      <c r="G126" s="191"/>
      <c r="H126" s="191"/>
      <c r="I126" s="191"/>
      <c r="J126" s="191"/>
      <c r="K126" s="191"/>
      <c r="L126" s="191"/>
      <c r="M126" s="191"/>
      <c r="N126" s="191"/>
      <c r="O126" s="191"/>
      <c r="P126" s="191">
        <v>1982</v>
      </c>
      <c r="Q126" s="191"/>
      <c r="R126" s="191">
        <v>5000</v>
      </c>
    </row>
    <row r="127" spans="1:28" ht="15.75">
      <c r="A127" s="76" t="e">
        <f>'53-CK NSNN'!#REF!</f>
        <v>#REF!</v>
      </c>
      <c r="B127" s="221" t="e">
        <f>'53-CK NSNN'!#REF!</f>
        <v>#REF!</v>
      </c>
      <c r="C127" s="191">
        <f t="shared" si="22"/>
        <v>1875</v>
      </c>
      <c r="D127" s="191"/>
      <c r="E127" s="191"/>
      <c r="F127" s="191"/>
      <c r="G127" s="191"/>
      <c r="H127" s="191"/>
      <c r="I127" s="191"/>
      <c r="J127" s="191"/>
      <c r="K127" s="191"/>
      <c r="L127" s="191"/>
      <c r="M127" s="191"/>
      <c r="N127" s="191"/>
      <c r="O127" s="191"/>
      <c r="P127" s="191">
        <v>1875</v>
      </c>
      <c r="Q127" s="191"/>
      <c r="R127" s="191"/>
    </row>
    <row r="128" spans="1:28" ht="15.75">
      <c r="A128" s="76" t="e">
        <f>'53-CK NSNN'!#REF!</f>
        <v>#REF!</v>
      </c>
      <c r="B128" s="221" t="e">
        <f>'53-CK NSNN'!#REF!</f>
        <v>#REF!</v>
      </c>
      <c r="C128" s="191">
        <f t="shared" si="22"/>
        <v>956.21400000000006</v>
      </c>
      <c r="D128" s="191"/>
      <c r="E128" s="191"/>
      <c r="F128" s="191"/>
      <c r="G128" s="191"/>
      <c r="H128" s="191"/>
      <c r="I128" s="191"/>
      <c r="J128" s="191"/>
      <c r="K128" s="191"/>
      <c r="L128" s="191"/>
      <c r="M128" s="191"/>
      <c r="N128" s="191"/>
      <c r="O128" s="191"/>
      <c r="P128" s="191">
        <v>956.21400000000006</v>
      </c>
      <c r="Q128" s="191"/>
      <c r="R128" s="191"/>
    </row>
    <row r="129" spans="1:26" ht="15.75">
      <c r="A129" s="76" t="e">
        <f>'53-CK NSNN'!#REF!</f>
        <v>#REF!</v>
      </c>
      <c r="B129" s="221" t="e">
        <f>'53-CK NSNN'!#REF!</f>
        <v>#REF!</v>
      </c>
      <c r="C129" s="191">
        <f t="shared" si="22"/>
        <v>814.2</v>
      </c>
      <c r="D129" s="191"/>
      <c r="E129" s="191"/>
      <c r="F129" s="191"/>
      <c r="G129" s="191"/>
      <c r="H129" s="191"/>
      <c r="I129" s="191"/>
      <c r="J129" s="191"/>
      <c r="K129" s="191"/>
      <c r="L129" s="191"/>
      <c r="M129" s="191"/>
      <c r="N129" s="191"/>
      <c r="O129" s="191"/>
      <c r="P129" s="191">
        <v>814.2</v>
      </c>
      <c r="Q129" s="191"/>
      <c r="R129" s="191"/>
    </row>
    <row r="130" spans="1:26" ht="15.75">
      <c r="A130" s="76" t="e">
        <f>'53-CK NSNN'!#REF!</f>
        <v>#REF!</v>
      </c>
      <c r="B130" s="221" t="e">
        <f>'53-CK NSNN'!#REF!</f>
        <v>#REF!</v>
      </c>
      <c r="C130" s="191">
        <f t="shared" si="22"/>
        <v>1389</v>
      </c>
      <c r="D130" s="191"/>
      <c r="E130" s="191"/>
      <c r="F130" s="191"/>
      <c r="G130" s="191"/>
      <c r="H130" s="191"/>
      <c r="I130" s="191"/>
      <c r="J130" s="191"/>
      <c r="K130" s="191"/>
      <c r="L130" s="191"/>
      <c r="M130" s="191"/>
      <c r="N130" s="191"/>
      <c r="O130" s="191"/>
      <c r="P130" s="191">
        <v>1389</v>
      </c>
      <c r="Q130" s="191"/>
      <c r="R130" s="191"/>
    </row>
    <row r="131" spans="1:26" ht="15.75">
      <c r="A131" s="76" t="e">
        <f>'53-CK NSNN'!#REF!</f>
        <v>#REF!</v>
      </c>
      <c r="B131" s="221" t="e">
        <f>'53-CK NSNN'!#REF!</f>
        <v>#REF!</v>
      </c>
      <c r="C131" s="191">
        <f t="shared" si="22"/>
        <v>933</v>
      </c>
      <c r="D131" s="191"/>
      <c r="E131" s="191"/>
      <c r="F131" s="191"/>
      <c r="G131" s="191"/>
      <c r="H131" s="191"/>
      <c r="I131" s="191"/>
      <c r="J131" s="191"/>
      <c r="K131" s="191"/>
      <c r="L131" s="191"/>
      <c r="M131" s="191"/>
      <c r="N131" s="191"/>
      <c r="O131" s="191"/>
      <c r="P131" s="191">
        <v>933</v>
      </c>
      <c r="Q131" s="191"/>
      <c r="R131" s="191"/>
    </row>
    <row r="132" spans="1:26" ht="15.75">
      <c r="A132" s="76" t="e">
        <f>'53-CK NSNN'!#REF!</f>
        <v>#REF!</v>
      </c>
      <c r="B132" s="221" t="e">
        <f>'53-CK NSNN'!#REF!</f>
        <v>#REF!</v>
      </c>
      <c r="C132" s="191">
        <f t="shared" si="22"/>
        <v>1910.325</v>
      </c>
      <c r="D132" s="191">
        <v>40</v>
      </c>
      <c r="E132" s="191"/>
      <c r="F132" s="191"/>
      <c r="G132" s="191"/>
      <c r="H132" s="191"/>
      <c r="I132" s="191"/>
      <c r="J132" s="191"/>
      <c r="K132" s="191"/>
      <c r="L132" s="191"/>
      <c r="M132" s="191"/>
      <c r="N132" s="191"/>
      <c r="O132" s="191"/>
      <c r="P132" s="191">
        <v>1870.325</v>
      </c>
      <c r="Q132" s="191"/>
      <c r="R132" s="191"/>
    </row>
    <row r="133" spans="1:26" ht="15.75">
      <c r="A133" s="76" t="e">
        <f>'53-CK NSNN'!#REF!</f>
        <v>#REF!</v>
      </c>
      <c r="B133" s="221" t="e">
        <f>'53-CK NSNN'!#REF!</f>
        <v>#REF!</v>
      </c>
      <c r="C133" s="191">
        <f t="shared" si="22"/>
        <v>485</v>
      </c>
      <c r="D133" s="191"/>
      <c r="E133" s="191"/>
      <c r="F133" s="191"/>
      <c r="G133" s="191"/>
      <c r="H133" s="191"/>
      <c r="I133" s="191"/>
      <c r="J133" s="191"/>
      <c r="K133" s="191"/>
      <c r="L133" s="191"/>
      <c r="M133" s="191"/>
      <c r="N133" s="191"/>
      <c r="O133" s="191"/>
      <c r="P133" s="191">
        <v>485</v>
      </c>
      <c r="Q133" s="191"/>
      <c r="R133" s="191"/>
    </row>
    <row r="134" spans="1:26" ht="15.75">
      <c r="A134" s="76" t="e">
        <f>'53-CK NSNN'!#REF!</f>
        <v>#REF!</v>
      </c>
      <c r="B134" s="221" t="e">
        <f>'53-CK NSNN'!#REF!</f>
        <v>#REF!</v>
      </c>
      <c r="C134" s="191">
        <f t="shared" si="22"/>
        <v>327.48399999999998</v>
      </c>
      <c r="D134" s="191"/>
      <c r="E134" s="191"/>
      <c r="F134" s="191"/>
      <c r="G134" s="191"/>
      <c r="H134" s="191"/>
      <c r="I134" s="191"/>
      <c r="J134" s="191"/>
      <c r="K134" s="191"/>
      <c r="L134" s="191"/>
      <c r="M134" s="191"/>
      <c r="N134" s="191"/>
      <c r="O134" s="191"/>
      <c r="P134" s="191">
        <v>327.48399999999998</v>
      </c>
      <c r="Q134" s="191"/>
      <c r="R134" s="191"/>
    </row>
    <row r="135" spans="1:26" ht="15.75">
      <c r="A135" s="76" t="e">
        <f>'53-CK NSNN'!#REF!</f>
        <v>#REF!</v>
      </c>
      <c r="B135" s="221" t="e">
        <f>'53-CK NSNN'!#REF!</f>
        <v>#REF!</v>
      </c>
      <c r="C135" s="191">
        <f t="shared" si="22"/>
        <v>470</v>
      </c>
      <c r="D135" s="191"/>
      <c r="E135" s="191"/>
      <c r="F135" s="191"/>
      <c r="G135" s="191"/>
      <c r="H135" s="191"/>
      <c r="I135" s="191"/>
      <c r="J135" s="191"/>
      <c r="K135" s="191"/>
      <c r="L135" s="191"/>
      <c r="M135" s="191"/>
      <c r="N135" s="191"/>
      <c r="O135" s="191"/>
      <c r="P135" s="191">
        <v>470</v>
      </c>
      <c r="Q135" s="191"/>
      <c r="R135" s="191"/>
    </row>
    <row r="136" spans="1:26" ht="15.75">
      <c r="A136" s="76" t="e">
        <f>'53-CK NSNN'!#REF!</f>
        <v>#REF!</v>
      </c>
      <c r="B136" s="221" t="e">
        <f>'53-CK NSNN'!#REF!</f>
        <v>#REF!</v>
      </c>
      <c r="C136" s="191">
        <f t="shared" si="22"/>
        <v>318</v>
      </c>
      <c r="D136" s="191"/>
      <c r="E136" s="191"/>
      <c r="F136" s="191"/>
      <c r="G136" s="191"/>
      <c r="H136" s="191"/>
      <c r="I136" s="191"/>
      <c r="J136" s="191"/>
      <c r="K136" s="191"/>
      <c r="L136" s="191"/>
      <c r="M136" s="191"/>
      <c r="N136" s="191"/>
      <c r="O136" s="191"/>
      <c r="P136" s="191">
        <v>318</v>
      </c>
      <c r="Q136" s="191"/>
      <c r="R136" s="191"/>
    </row>
    <row r="137" spans="1:26" ht="15.75">
      <c r="A137" s="76" t="e">
        <f>'53-CK NSNN'!#REF!</f>
        <v>#REF!</v>
      </c>
      <c r="B137" s="221" t="e">
        <f>'53-CK NSNN'!#REF!</f>
        <v>#REF!</v>
      </c>
      <c r="C137" s="191">
        <f t="shared" si="22"/>
        <v>386</v>
      </c>
      <c r="D137" s="191"/>
      <c r="E137" s="191"/>
      <c r="F137" s="191"/>
      <c r="G137" s="191"/>
      <c r="H137" s="191"/>
      <c r="I137" s="191"/>
      <c r="J137" s="191"/>
      <c r="K137" s="191"/>
      <c r="L137" s="191"/>
      <c r="M137" s="191"/>
      <c r="N137" s="191"/>
      <c r="O137" s="191"/>
      <c r="P137" s="191">
        <v>386</v>
      </c>
      <c r="Q137" s="191"/>
      <c r="R137" s="191"/>
    </row>
    <row r="138" spans="1:26" ht="15.75">
      <c r="A138" s="76" t="e">
        <f>'53-CK NSNN'!#REF!</f>
        <v>#REF!</v>
      </c>
      <c r="B138" s="221" t="e">
        <f>'53-CK NSNN'!#REF!</f>
        <v>#REF!</v>
      </c>
      <c r="C138" s="191">
        <f t="shared" si="22"/>
        <v>346</v>
      </c>
      <c r="D138" s="191"/>
      <c r="E138" s="191"/>
      <c r="F138" s="191"/>
      <c r="G138" s="191"/>
      <c r="H138" s="191"/>
      <c r="I138" s="191"/>
      <c r="J138" s="191"/>
      <c r="K138" s="191"/>
      <c r="L138" s="191"/>
      <c r="M138" s="191"/>
      <c r="N138" s="191"/>
      <c r="O138" s="191"/>
      <c r="P138" s="191">
        <v>346</v>
      </c>
      <c r="Q138" s="191"/>
      <c r="R138" s="191"/>
    </row>
    <row r="139" spans="1:26" ht="15.75">
      <c r="A139" s="76" t="e">
        <f>'53-CK NSNN'!#REF!</f>
        <v>#REF!</v>
      </c>
      <c r="B139" s="221" t="e">
        <f>'53-CK NSNN'!#REF!</f>
        <v>#REF!</v>
      </c>
      <c r="C139" s="191">
        <f t="shared" si="22"/>
        <v>220</v>
      </c>
      <c r="D139" s="191"/>
      <c r="E139" s="191"/>
      <c r="F139" s="191"/>
      <c r="G139" s="191"/>
      <c r="H139" s="191"/>
      <c r="I139" s="191"/>
      <c r="J139" s="191"/>
      <c r="K139" s="191"/>
      <c r="L139" s="191"/>
      <c r="M139" s="191"/>
      <c r="N139" s="191"/>
      <c r="O139" s="191"/>
      <c r="P139" s="191">
        <v>220</v>
      </c>
      <c r="Q139" s="191"/>
      <c r="R139" s="191"/>
    </row>
    <row r="140" spans="1:26" ht="15.75">
      <c r="A140" s="76" t="e">
        <f>'53-CK NSNN'!#REF!</f>
        <v>#REF!</v>
      </c>
      <c r="B140" s="221" t="e">
        <f>'53-CK NSNN'!#REF!</f>
        <v>#REF!</v>
      </c>
      <c r="C140" s="191">
        <f t="shared" si="22"/>
        <v>156</v>
      </c>
      <c r="D140" s="191"/>
      <c r="E140" s="191"/>
      <c r="F140" s="191"/>
      <c r="G140" s="191"/>
      <c r="H140" s="191"/>
      <c r="I140" s="191"/>
      <c r="J140" s="191"/>
      <c r="K140" s="191"/>
      <c r="L140" s="191"/>
      <c r="M140" s="191"/>
      <c r="N140" s="191"/>
      <c r="O140" s="191"/>
      <c r="P140" s="191">
        <v>156</v>
      </c>
      <c r="Q140" s="191"/>
      <c r="R140" s="191"/>
    </row>
    <row r="141" spans="1:26" ht="15.75">
      <c r="A141" s="76" t="e">
        <f>'53-CK NSNN'!#REF!</f>
        <v>#REF!</v>
      </c>
      <c r="B141" s="221" t="e">
        <f>'53-CK NSNN'!#REF!</f>
        <v>#REF!</v>
      </c>
      <c r="C141" s="191">
        <f t="shared" si="22"/>
        <v>416</v>
      </c>
      <c r="D141" s="191"/>
      <c r="E141" s="191"/>
      <c r="F141" s="191"/>
      <c r="G141" s="191"/>
      <c r="H141" s="191"/>
      <c r="I141" s="191"/>
      <c r="J141" s="191"/>
      <c r="K141" s="191"/>
      <c r="L141" s="191"/>
      <c r="M141" s="191"/>
      <c r="N141" s="191"/>
      <c r="O141" s="191"/>
      <c r="P141" s="191">
        <v>416</v>
      </c>
      <c r="Q141" s="191"/>
      <c r="R141" s="191"/>
    </row>
    <row r="142" spans="1:26" ht="15.75">
      <c r="A142" s="76">
        <v>19</v>
      </c>
      <c r="B142" s="221" t="s">
        <v>1294</v>
      </c>
      <c r="C142" s="191">
        <f t="shared" si="22"/>
        <v>7103.0800000000008</v>
      </c>
      <c r="D142" s="191"/>
      <c r="E142" s="191"/>
      <c r="F142" s="191"/>
      <c r="G142" s="191"/>
      <c r="H142" s="191"/>
      <c r="I142" s="191"/>
      <c r="J142" s="191"/>
      <c r="K142" s="191"/>
      <c r="L142" s="191"/>
      <c r="M142" s="191"/>
      <c r="N142" s="191"/>
      <c r="O142" s="191"/>
      <c r="P142" s="191">
        <v>94.5</v>
      </c>
      <c r="Q142" s="191"/>
      <c r="R142" s="191">
        <f>Z142</f>
        <v>7008.5800000000008</v>
      </c>
      <c r="X142" s="474">
        <f>64.5+30</f>
        <v>94.5</v>
      </c>
      <c r="Z142" s="474">
        <f>250+200+50+400+150+559.43+5000+63.9+122.4+60.75+13.5+71.1+17.1+51.3-0.9</f>
        <v>7008.5800000000008</v>
      </c>
    </row>
    <row r="143" spans="1:26" ht="15.75">
      <c r="A143" s="81"/>
      <c r="B143" s="92"/>
      <c r="C143" s="202"/>
      <c r="D143" s="202"/>
      <c r="E143" s="202"/>
      <c r="F143" s="202"/>
      <c r="G143" s="202"/>
      <c r="H143" s="202"/>
      <c r="I143" s="202"/>
      <c r="J143" s="202"/>
      <c r="K143" s="202"/>
      <c r="L143" s="202"/>
      <c r="M143" s="202"/>
      <c r="N143" s="202"/>
      <c r="O143" s="202"/>
      <c r="P143" s="202"/>
      <c r="Q143" s="202"/>
      <c r="R143" s="202"/>
    </row>
  </sheetData>
  <customSheetViews>
    <customSheetView guid="{9F606621-8853-4836-9A7E-DBA5CF152671}" showPageBreaks="1">
      <selection activeCell="B9" sqref="B9"/>
      <pageMargins left="0.7" right="0.7" top="0.75" bottom="0.75" header="0.3" footer="0.3"/>
      <pageSetup orientation="portrait" r:id="rId1"/>
    </customSheetView>
    <customSheetView guid="{DB9039ED-C6EA-422D-9A5D-D152D95EDC67}" scale="130" showPageBreaks="1" printArea="1" showAutoFilter="1" hiddenRows="1" topLeftCell="B1">
      <pane xSplit="1" ySplit="7" topLeftCell="C98" activePane="bottomRight" state="frozen"/>
      <selection pane="bottomRight" activeCell="B100" sqref="B100"/>
      <pageMargins left="0.70866141732283472" right="0.51181102362204722" top="0.74803149606299213" bottom="0.35433070866141736" header="0.31496062992125984" footer="0.31496062992125984"/>
      <pageSetup paperSize="9" scale="73" orientation="landscape" blackAndWhite="1" r:id="rId2"/>
      <autoFilter ref="A7:R143"/>
    </customSheetView>
  </customSheetViews>
  <mergeCells count="20">
    <mergeCell ref="P5:P6"/>
    <mergeCell ref="Q5:Q6"/>
    <mergeCell ref="U5:W5"/>
    <mergeCell ref="R5:R6"/>
    <mergeCell ref="A2:R2"/>
    <mergeCell ref="A3:R3"/>
    <mergeCell ref="G5:G6"/>
    <mergeCell ref="H5:H6"/>
    <mergeCell ref="I5:I6"/>
    <mergeCell ref="J5:J6"/>
    <mergeCell ref="K5:K6"/>
    <mergeCell ref="L5:L6"/>
    <mergeCell ref="A5:A6"/>
    <mergeCell ref="B5:B6"/>
    <mergeCell ref="C5:C6"/>
    <mergeCell ref="D5:D6"/>
    <mergeCell ref="E5:E6"/>
    <mergeCell ref="F5:F6"/>
    <mergeCell ref="M5:M6"/>
    <mergeCell ref="N5:O5"/>
  </mergeCells>
  <pageMargins left="0.7" right="0.7" top="0.75" bottom="0.75" header="0.3" footer="0.3"/>
  <pageSetup orientation="portrait" r:id="rId3"/>
  <legacyDrawing r:id="rId4"/>
</worksheet>
</file>

<file path=xl/worksheets/sheet28.xml><?xml version="1.0" encoding="utf-8"?>
<worksheet xmlns="http://schemas.openxmlformats.org/spreadsheetml/2006/main" xmlns:r="http://schemas.openxmlformats.org/officeDocument/2006/relationships">
  <dimension ref="A1:AW48"/>
  <sheetViews>
    <sheetView topLeftCell="A4" zoomScale="75" workbookViewId="0">
      <pane xSplit="2" ySplit="6" topLeftCell="C25" activePane="bottomRight" state="frozen"/>
      <selection activeCell="A4" sqref="A4"/>
      <selection pane="topRight" activeCell="C4" sqref="C4"/>
      <selection pane="bottomLeft" activeCell="A10" sqref="A10"/>
      <selection pane="bottomRight" activeCell="S17" sqref="S17"/>
    </sheetView>
  </sheetViews>
  <sheetFormatPr defaultRowHeight="15"/>
  <cols>
    <col min="1" max="1" width="6.140625" customWidth="1"/>
    <col min="2" max="2" width="20" customWidth="1"/>
    <col min="3" max="3" width="10.7109375" customWidth="1"/>
    <col min="4" max="4" width="8.7109375" customWidth="1"/>
    <col min="5" max="6" width="8.85546875" customWidth="1"/>
    <col min="10" max="10" width="12" customWidth="1"/>
    <col min="11" max="11" width="10.28515625" customWidth="1"/>
    <col min="13" max="13" width="11.42578125" customWidth="1"/>
    <col min="21" max="21" width="12.85546875" customWidth="1"/>
    <col min="22" max="22" width="10.5703125" customWidth="1"/>
    <col min="37" max="37" width="8.85546875" style="195"/>
    <col min="38" max="41" width="8.85546875" style="196"/>
    <col min="42" max="43" width="8.85546875" style="195"/>
  </cols>
  <sheetData>
    <row r="1" spans="1:49" ht="15.75">
      <c r="AG1" s="26" t="s">
        <v>535</v>
      </c>
    </row>
    <row r="2" spans="1:49" ht="18.75">
      <c r="A2" s="789" t="s">
        <v>840</v>
      </c>
      <c r="B2" s="789"/>
      <c r="C2" s="789"/>
      <c r="D2" s="789"/>
      <c r="E2" s="789"/>
      <c r="F2" s="789"/>
      <c r="G2" s="789"/>
      <c r="H2" s="789"/>
      <c r="I2" s="789"/>
      <c r="J2" s="789"/>
      <c r="K2" s="789"/>
      <c r="L2" s="789"/>
      <c r="M2" s="789"/>
      <c r="N2" s="789"/>
      <c r="O2" s="789"/>
      <c r="P2" s="789"/>
      <c r="Q2" s="789"/>
      <c r="R2" s="789"/>
      <c r="S2" s="789"/>
      <c r="T2" s="789"/>
      <c r="U2" s="789"/>
      <c r="V2" s="789"/>
      <c r="W2" s="789"/>
      <c r="X2" s="789"/>
      <c r="Y2" s="789"/>
      <c r="Z2" s="789"/>
      <c r="AA2" s="789"/>
      <c r="AB2" s="789"/>
      <c r="AC2" s="789"/>
      <c r="AD2" s="789"/>
      <c r="AE2" s="789"/>
      <c r="AF2" s="789"/>
      <c r="AG2" s="789"/>
    </row>
    <row r="3" spans="1:49" ht="15.75">
      <c r="A3" s="774"/>
      <c r="B3" s="774"/>
      <c r="C3" s="774"/>
      <c r="D3" s="774"/>
      <c r="E3" s="774"/>
      <c r="F3" s="774"/>
      <c r="G3" s="774"/>
      <c r="H3" s="774"/>
      <c r="I3" s="774"/>
      <c r="J3" s="774"/>
      <c r="K3" s="774"/>
      <c r="L3" s="774"/>
      <c r="M3" s="774"/>
      <c r="N3" s="774"/>
      <c r="O3" s="774"/>
      <c r="P3" s="774"/>
      <c r="Q3" s="774"/>
      <c r="R3" s="774"/>
      <c r="S3" s="774"/>
      <c r="T3" s="774"/>
      <c r="U3" s="774"/>
      <c r="V3" s="774"/>
      <c r="W3" s="774"/>
      <c r="X3" s="774"/>
      <c r="Y3" s="774"/>
      <c r="Z3" s="774"/>
      <c r="AA3" s="774"/>
      <c r="AB3" s="774"/>
      <c r="AC3" s="774"/>
      <c r="AD3" s="774"/>
      <c r="AE3" s="774"/>
      <c r="AF3" s="774"/>
      <c r="AG3" s="774"/>
    </row>
    <row r="4" spans="1:49" ht="15.75">
      <c r="AF4" s="27" t="s">
        <v>536</v>
      </c>
    </row>
    <row r="5" spans="1:49" ht="15.75">
      <c r="A5" s="773" t="s">
        <v>3</v>
      </c>
      <c r="B5" s="773" t="s">
        <v>467</v>
      </c>
      <c r="C5" s="773" t="s">
        <v>841</v>
      </c>
      <c r="D5" s="773"/>
      <c r="E5" s="773"/>
      <c r="F5" s="773"/>
      <c r="G5" s="773"/>
      <c r="H5" s="773"/>
      <c r="I5" s="773"/>
      <c r="J5" s="773"/>
      <c r="K5" s="773"/>
      <c r="L5" s="773"/>
      <c r="M5" s="773" t="s">
        <v>842</v>
      </c>
      <c r="N5" s="773"/>
      <c r="O5" s="773"/>
      <c r="P5" s="773"/>
      <c r="Q5" s="773"/>
      <c r="R5" s="773"/>
      <c r="S5" s="773"/>
      <c r="T5" s="773"/>
      <c r="U5" s="773"/>
      <c r="V5" s="773"/>
      <c r="W5" s="773"/>
      <c r="X5" s="773" t="s">
        <v>346</v>
      </c>
      <c r="Y5" s="773"/>
      <c r="Z5" s="773"/>
      <c r="AA5" s="773"/>
      <c r="AB5" s="773"/>
      <c r="AC5" s="773"/>
      <c r="AD5" s="773"/>
      <c r="AE5" s="773"/>
      <c r="AF5" s="773"/>
      <c r="AG5" s="773"/>
    </row>
    <row r="6" spans="1:49" ht="23.25" customHeight="1">
      <c r="A6" s="773"/>
      <c r="B6" s="773"/>
      <c r="C6" s="773" t="s">
        <v>130</v>
      </c>
      <c r="D6" s="773" t="s">
        <v>340</v>
      </c>
      <c r="E6" s="773"/>
      <c r="F6" s="773"/>
      <c r="G6" s="773"/>
      <c r="H6" s="773"/>
      <c r="I6" s="773"/>
      <c r="J6" s="773" t="s">
        <v>96</v>
      </c>
      <c r="K6" s="773" t="s">
        <v>162</v>
      </c>
      <c r="L6" s="773"/>
      <c r="M6" s="773" t="s">
        <v>130</v>
      </c>
      <c r="N6" s="784" t="s">
        <v>340</v>
      </c>
      <c r="O6" s="785"/>
      <c r="P6" s="785"/>
      <c r="Q6" s="785"/>
      <c r="R6" s="785"/>
      <c r="S6" s="785"/>
      <c r="T6" s="786"/>
      <c r="U6" s="773" t="s">
        <v>96</v>
      </c>
      <c r="V6" s="773" t="s">
        <v>162</v>
      </c>
      <c r="W6" s="773"/>
      <c r="X6" s="773" t="s">
        <v>130</v>
      </c>
      <c r="Y6" s="773" t="s">
        <v>340</v>
      </c>
      <c r="Z6" s="773"/>
      <c r="AA6" s="773"/>
      <c r="AB6" s="773"/>
      <c r="AC6" s="773"/>
      <c r="AD6" s="773"/>
      <c r="AE6" s="773" t="s">
        <v>96</v>
      </c>
      <c r="AF6" s="773" t="s">
        <v>162</v>
      </c>
      <c r="AG6" s="773"/>
    </row>
    <row r="7" spans="1:49" ht="15.75">
      <c r="A7" s="773"/>
      <c r="B7" s="773"/>
      <c r="C7" s="773"/>
      <c r="D7" s="773" t="s">
        <v>130</v>
      </c>
      <c r="E7" s="773" t="s">
        <v>162</v>
      </c>
      <c r="F7" s="773"/>
      <c r="G7" s="773" t="s">
        <v>537</v>
      </c>
      <c r="H7" s="773" t="s">
        <v>538</v>
      </c>
      <c r="I7" s="773" t="s">
        <v>392</v>
      </c>
      <c r="J7" s="773"/>
      <c r="K7" s="773"/>
      <c r="L7" s="773"/>
      <c r="M7" s="773"/>
      <c r="N7" s="773" t="s">
        <v>130</v>
      </c>
      <c r="O7" s="773" t="s">
        <v>162</v>
      </c>
      <c r="P7" s="773"/>
      <c r="Q7" s="773" t="s">
        <v>537</v>
      </c>
      <c r="R7" s="773" t="s">
        <v>538</v>
      </c>
      <c r="S7" s="773" t="s">
        <v>392</v>
      </c>
      <c r="T7" s="787" t="s">
        <v>1052</v>
      </c>
      <c r="U7" s="773"/>
      <c r="V7" s="773" t="s">
        <v>539</v>
      </c>
      <c r="W7" s="773" t="s">
        <v>429</v>
      </c>
      <c r="X7" s="773"/>
      <c r="Y7" s="773" t="s">
        <v>130</v>
      </c>
      <c r="Z7" s="773" t="s">
        <v>162</v>
      </c>
      <c r="AA7" s="773"/>
      <c r="AB7" s="773" t="s">
        <v>537</v>
      </c>
      <c r="AC7" s="773" t="s">
        <v>538</v>
      </c>
      <c r="AD7" s="773" t="s">
        <v>392</v>
      </c>
      <c r="AE7" s="773"/>
      <c r="AF7" s="773"/>
      <c r="AG7" s="773"/>
    </row>
    <row r="8" spans="1:49" ht="121.5" customHeight="1">
      <c r="A8" s="773"/>
      <c r="B8" s="773"/>
      <c r="C8" s="773"/>
      <c r="D8" s="773"/>
      <c r="E8" s="30" t="s">
        <v>539</v>
      </c>
      <c r="F8" s="30" t="s">
        <v>390</v>
      </c>
      <c r="G8" s="773"/>
      <c r="H8" s="773"/>
      <c r="I8" s="773"/>
      <c r="J8" s="773"/>
      <c r="K8" s="30" t="s">
        <v>539</v>
      </c>
      <c r="L8" s="30" t="s">
        <v>429</v>
      </c>
      <c r="M8" s="773"/>
      <c r="N8" s="773"/>
      <c r="O8" s="30" t="s">
        <v>539</v>
      </c>
      <c r="P8" s="30" t="s">
        <v>390</v>
      </c>
      <c r="Q8" s="773"/>
      <c r="R8" s="773"/>
      <c r="S8" s="773"/>
      <c r="T8" s="788"/>
      <c r="U8" s="773"/>
      <c r="V8" s="773"/>
      <c r="W8" s="773"/>
      <c r="X8" s="773"/>
      <c r="Y8" s="773"/>
      <c r="Z8" s="30" t="s">
        <v>539</v>
      </c>
      <c r="AA8" s="30" t="s">
        <v>390</v>
      </c>
      <c r="AB8" s="773"/>
      <c r="AC8" s="773"/>
      <c r="AD8" s="773"/>
      <c r="AE8" s="773"/>
      <c r="AF8" s="30" t="s">
        <v>539</v>
      </c>
      <c r="AG8" s="30" t="s">
        <v>390</v>
      </c>
      <c r="AI8" t="s">
        <v>1051</v>
      </c>
      <c r="AK8" s="25" t="s">
        <v>972</v>
      </c>
      <c r="AL8" s="197" t="s">
        <v>973</v>
      </c>
      <c r="AM8" s="198" t="s">
        <v>974</v>
      </c>
      <c r="AN8" s="198" t="s">
        <v>976</v>
      </c>
      <c r="AO8" s="198" t="s">
        <v>975</v>
      </c>
      <c r="AP8" s="225" t="s">
        <v>1045</v>
      </c>
    </row>
    <row r="9" spans="1:49" ht="31.5">
      <c r="A9" s="30" t="s">
        <v>15</v>
      </c>
      <c r="B9" s="30" t="s">
        <v>16</v>
      </c>
      <c r="C9" s="30">
        <v>1</v>
      </c>
      <c r="D9" s="30">
        <v>2</v>
      </c>
      <c r="E9" s="30">
        <v>3</v>
      </c>
      <c r="F9" s="30">
        <v>4</v>
      </c>
      <c r="G9" s="30">
        <v>5</v>
      </c>
      <c r="H9" s="30">
        <v>6</v>
      </c>
      <c r="I9" s="30">
        <v>7</v>
      </c>
      <c r="J9" s="30">
        <v>8</v>
      </c>
      <c r="K9" s="30">
        <v>9</v>
      </c>
      <c r="L9" s="30">
        <v>10</v>
      </c>
      <c r="M9" s="30">
        <v>11</v>
      </c>
      <c r="N9" s="30">
        <v>12</v>
      </c>
      <c r="O9" s="30">
        <v>13</v>
      </c>
      <c r="P9" s="30">
        <v>14</v>
      </c>
      <c r="Q9" s="30">
        <v>15</v>
      </c>
      <c r="R9" s="30">
        <v>16</v>
      </c>
      <c r="S9" s="30">
        <v>17</v>
      </c>
      <c r="T9" s="228">
        <v>18</v>
      </c>
      <c r="U9" s="30">
        <v>19</v>
      </c>
      <c r="V9" s="30">
        <v>20</v>
      </c>
      <c r="W9" s="30">
        <v>21</v>
      </c>
      <c r="X9" s="30" t="s">
        <v>1278</v>
      </c>
      <c r="Y9" s="30" t="s">
        <v>1279</v>
      </c>
      <c r="Z9" s="30" t="s">
        <v>1280</v>
      </c>
      <c r="AA9" s="30" t="s">
        <v>1281</v>
      </c>
      <c r="AB9" s="30" t="s">
        <v>1282</v>
      </c>
      <c r="AC9" s="30" t="s">
        <v>1283</v>
      </c>
      <c r="AD9" s="30" t="s">
        <v>1284</v>
      </c>
      <c r="AE9" s="30" t="s">
        <v>1285</v>
      </c>
      <c r="AF9" s="30" t="s">
        <v>1286</v>
      </c>
      <c r="AG9" s="30" t="s">
        <v>1287</v>
      </c>
      <c r="AK9" s="199"/>
      <c r="AN9" s="198"/>
      <c r="AP9" s="783" t="s">
        <v>1046</v>
      </c>
      <c r="AQ9" s="783"/>
    </row>
    <row r="10" spans="1:49" ht="15.75">
      <c r="A10" s="91"/>
      <c r="B10" s="72" t="s">
        <v>133</v>
      </c>
      <c r="C10" s="190">
        <f>SUM(C11:C25)</f>
        <v>4828777.9983333321</v>
      </c>
      <c r="D10" s="190">
        <f t="shared" ref="D10:W10" si="0">SUM(D11:D25)</f>
        <v>572285</v>
      </c>
      <c r="E10" s="190">
        <f t="shared" si="0"/>
        <v>0</v>
      </c>
      <c r="F10" s="190">
        <f t="shared" si="0"/>
        <v>0</v>
      </c>
      <c r="G10" s="190">
        <f t="shared" si="0"/>
        <v>245785</v>
      </c>
      <c r="H10" s="190">
        <f t="shared" si="0"/>
        <v>100000</v>
      </c>
      <c r="I10" s="190">
        <f t="shared" si="0"/>
        <v>226500</v>
      </c>
      <c r="J10" s="190">
        <f t="shared" si="0"/>
        <v>4256492.9983333331</v>
      </c>
      <c r="K10" s="190">
        <f t="shared" si="0"/>
        <v>2139883</v>
      </c>
      <c r="L10" s="190">
        <f t="shared" si="0"/>
        <v>0</v>
      </c>
      <c r="M10" s="190">
        <f t="shared" si="0"/>
        <v>5454277.2293053325</v>
      </c>
      <c r="N10" s="190">
        <f t="shared" si="0"/>
        <v>923393.49329999997</v>
      </c>
      <c r="O10" s="190">
        <f t="shared" si="0"/>
        <v>0</v>
      </c>
      <c r="P10" s="190">
        <f t="shared" si="0"/>
        <v>0</v>
      </c>
      <c r="Q10" s="190">
        <f t="shared" si="0"/>
        <v>245785</v>
      </c>
      <c r="R10" s="190">
        <f t="shared" si="0"/>
        <v>100000</v>
      </c>
      <c r="S10" s="190">
        <f t="shared" si="0"/>
        <v>562154.5</v>
      </c>
      <c r="T10" s="190">
        <f t="shared" si="0"/>
        <v>15453.9933</v>
      </c>
      <c r="U10" s="190">
        <f t="shared" si="0"/>
        <v>4530883.7360053342</v>
      </c>
      <c r="V10" s="190">
        <f t="shared" si="0"/>
        <v>2188558.6826666663</v>
      </c>
      <c r="W10" s="190">
        <f t="shared" si="0"/>
        <v>0</v>
      </c>
      <c r="X10" s="200">
        <f>M10/C10</f>
        <v>1.1295357192208657</v>
      </c>
      <c r="Y10" s="200">
        <f t="shared" ref="Y10" si="1">N10/D10</f>
        <v>1.6135203496509605</v>
      </c>
      <c r="Z10" s="200"/>
      <c r="AA10" s="200"/>
      <c r="AB10" s="200">
        <f t="shared" ref="AB10" si="2">Q10/G10</f>
        <v>1</v>
      </c>
      <c r="AC10" s="200">
        <f t="shared" ref="AC10" si="3">R10/H10</f>
        <v>1</v>
      </c>
      <c r="AD10" s="200">
        <f t="shared" ref="AD10" si="4">S10/I10</f>
        <v>2.4819183222958059</v>
      </c>
      <c r="AE10" s="200">
        <f t="shared" ref="AE10" si="5">U10/J10</f>
        <v>1.064464040650235</v>
      </c>
      <c r="AF10" s="200">
        <f t="shared" ref="AF10" si="6">V10/K10</f>
        <v>1.0227468897442833</v>
      </c>
      <c r="AG10" s="200"/>
      <c r="AK10" s="199"/>
      <c r="AL10" s="226">
        <f>SUM(AL11:AL25)</f>
        <v>45784.001666666671</v>
      </c>
      <c r="AM10" s="226">
        <f t="shared" ref="AM10:AP10" si="7">SUM(AM11:AM25)</f>
        <v>5073.71</v>
      </c>
      <c r="AN10" s="226">
        <f t="shared" si="7"/>
        <v>32355.000000000004</v>
      </c>
      <c r="AO10" s="226">
        <f t="shared" si="7"/>
        <v>8355.2916666666661</v>
      </c>
      <c r="AP10" s="226">
        <f t="shared" si="7"/>
        <v>64073.48000000001</v>
      </c>
      <c r="AQ10" s="226">
        <f>SUM(AQ11:AQ25)</f>
        <v>64072</v>
      </c>
      <c r="AR10" s="193"/>
      <c r="AT10" s="193">
        <f>+AM10/4*12</f>
        <v>15221.130000000001</v>
      </c>
      <c r="AU10" s="193">
        <f>+AN10/10*12</f>
        <v>38826.000000000007</v>
      </c>
      <c r="AV10" s="193">
        <f>+AO10/10*12</f>
        <v>10026.349999999999</v>
      </c>
      <c r="AW10" s="193">
        <f>+AV10+AU10+AT10</f>
        <v>64073.48000000001</v>
      </c>
    </row>
    <row r="11" spans="1:49" ht="15.75">
      <c r="A11" s="83">
        <v>1</v>
      </c>
      <c r="B11" s="60" t="s">
        <v>831</v>
      </c>
      <c r="C11" s="191">
        <f>D11+J11</f>
        <v>395316.67700000003</v>
      </c>
      <c r="D11" s="191">
        <f>G11+H11+I11</f>
        <v>56682</v>
      </c>
      <c r="E11" s="191"/>
      <c r="F11" s="191"/>
      <c r="G11" s="191">
        <v>32052</v>
      </c>
      <c r="H11" s="191">
        <v>2630</v>
      </c>
      <c r="I11" s="191">
        <v>22000</v>
      </c>
      <c r="J11" s="191">
        <f>AK11-AL11</f>
        <v>338634.67700000003</v>
      </c>
      <c r="K11" s="191">
        <f>181592+3620-AN11</f>
        <v>185212</v>
      </c>
      <c r="L11" s="191"/>
      <c r="M11" s="191">
        <f>N11+U11</f>
        <v>455873.32</v>
      </c>
      <c r="N11" s="191">
        <f>+Q11+R11+S11+T11</f>
        <v>90682</v>
      </c>
      <c r="O11" s="191"/>
      <c r="P11" s="191"/>
      <c r="Q11" s="191">
        <f>'22 - DG chi T+H2017'!O16</f>
        <v>32052</v>
      </c>
      <c r="R11" s="191">
        <f>'22 - DG chi T+H2017'!O18</f>
        <v>2630</v>
      </c>
      <c r="S11" s="191">
        <f>'22 - DG chi T+H2017'!O17</f>
        <v>56000</v>
      </c>
      <c r="T11" s="191">
        <f>'22 - DG chi T+H2017'!O19</f>
        <v>0</v>
      </c>
      <c r="U11" s="191">
        <f>'22 - DG chi T+H2017'!O27</f>
        <v>365191.32</v>
      </c>
      <c r="V11" s="191">
        <f>'22 - DG chi T+H2017'!O29</f>
        <v>188932</v>
      </c>
      <c r="W11" s="191">
        <f>'22 - DG chi T+H2017'!O32</f>
        <v>0</v>
      </c>
      <c r="X11" s="201">
        <f>M11/C11</f>
        <v>1.1531851462972811</v>
      </c>
      <c r="Y11" s="201">
        <f>N11/D11</f>
        <v>1.5998376909777354</v>
      </c>
      <c r="Z11" s="201"/>
      <c r="AA11" s="201"/>
      <c r="AB11" s="201">
        <f>Q11/G11</f>
        <v>1</v>
      </c>
      <c r="AC11" s="201">
        <f>R11/H11</f>
        <v>1</v>
      </c>
      <c r="AD11" s="201">
        <f>S11/I11</f>
        <v>2.5454545454545454</v>
      </c>
      <c r="AE11" s="201">
        <f>U11/J11</f>
        <v>1.0784226920741493</v>
      </c>
      <c r="AF11" s="201">
        <f>V11/K11</f>
        <v>1.020085091678725</v>
      </c>
      <c r="AG11" s="201"/>
      <c r="AK11" s="194">
        <v>339034</v>
      </c>
      <c r="AL11" s="196">
        <f>SUM(AM11:AO11)</f>
        <v>399.32299999999998</v>
      </c>
      <c r="AM11" s="196">
        <v>399.32299999999998</v>
      </c>
      <c r="AP11" s="194">
        <f>AM11/4*12+(AN11+AO11)/10*12</f>
        <v>1197.9690000000001</v>
      </c>
      <c r="AQ11" s="196">
        <f>ROUND(AP11,0)</f>
        <v>1198</v>
      </c>
      <c r="AT11" s="193">
        <f t="shared" ref="AT11:AT25" si="8">+AM11/4*12</f>
        <v>1197.9690000000001</v>
      </c>
      <c r="AU11" s="193">
        <f t="shared" ref="AU11:AU25" si="9">+AN11/10*12</f>
        <v>0</v>
      </c>
      <c r="AV11" s="193">
        <f t="shared" ref="AV11:AV25" si="10">+AO11/10*12</f>
        <v>0</v>
      </c>
    </row>
    <row r="12" spans="1:49" ht="15.75">
      <c r="A12" s="83">
        <v>2</v>
      </c>
      <c r="B12" s="60" t="s">
        <v>917</v>
      </c>
      <c r="C12" s="191">
        <f t="shared" ref="C12:C25" si="11">D12+J12</f>
        <v>234565.36233333332</v>
      </c>
      <c r="D12" s="191">
        <f t="shared" ref="D12:D25" si="12">G12+H12+I12</f>
        <v>29484</v>
      </c>
      <c r="E12" s="191"/>
      <c r="F12" s="191"/>
      <c r="G12" s="191">
        <v>10684</v>
      </c>
      <c r="H12" s="191">
        <v>1800</v>
      </c>
      <c r="I12" s="191">
        <v>17000</v>
      </c>
      <c r="J12" s="191">
        <f t="shared" ref="J12:J25" si="13">AK12-AL12</f>
        <v>205081.36233333332</v>
      </c>
      <c r="K12" s="191">
        <f>96976+1569-AN12</f>
        <v>94007.5</v>
      </c>
      <c r="L12" s="191"/>
      <c r="M12" s="191">
        <f t="shared" ref="M12:M25" si="14">N12+U12</f>
        <v>260190.85799999998</v>
      </c>
      <c r="N12" s="191">
        <f t="shared" ref="N12:N25" si="15">+Q12+R12+S12+T12</f>
        <v>41984</v>
      </c>
      <c r="O12" s="191"/>
      <c r="P12" s="191"/>
      <c r="Q12" s="191">
        <f>'22 - DG chi T+H2017'!W16</f>
        <v>10684</v>
      </c>
      <c r="R12" s="191">
        <f>'22 - DG chi T+H2017'!W18</f>
        <v>1800</v>
      </c>
      <c r="S12" s="191">
        <f>'22 - DG chi T+H2017'!W17</f>
        <v>29500</v>
      </c>
      <c r="T12" s="191">
        <f>'22 - DG chi T+H2017'!W19</f>
        <v>0</v>
      </c>
      <c r="U12" s="191">
        <f>'22 - DG chi T+H2017'!W27</f>
        <v>218206.85799999998</v>
      </c>
      <c r="V12" s="191">
        <f>'22 - DG chi T+H2017'!W29</f>
        <v>97977.157999999996</v>
      </c>
      <c r="W12" s="191">
        <f>'22 - DG chi T+H2017'!W32</f>
        <v>0</v>
      </c>
      <c r="X12" s="201">
        <f t="shared" ref="X12:X25" si="16">M12/C12</f>
        <v>1.1092467166156061</v>
      </c>
      <c r="Y12" s="201">
        <f t="shared" ref="Y12:Y25" si="17">N12/D12</f>
        <v>1.4239587572920906</v>
      </c>
      <c r="Z12" s="201"/>
      <c r="AA12" s="201"/>
      <c r="AB12" s="201">
        <f t="shared" ref="AB12:AB25" si="18">Q12/G12</f>
        <v>1</v>
      </c>
      <c r="AC12" s="201">
        <f t="shared" ref="AC12:AC25" si="19">R12/H12</f>
        <v>1</v>
      </c>
      <c r="AD12" s="201">
        <f t="shared" ref="AD12:AD25" si="20">S12/I12</f>
        <v>1.7352941176470589</v>
      </c>
      <c r="AE12" s="201">
        <f t="shared" ref="AE12:AE25" si="21">U12/J12</f>
        <v>1.0640014066482202</v>
      </c>
      <c r="AF12" s="201">
        <f t="shared" ref="AF12:AF25" si="22">V12/K12</f>
        <v>1.0422270350769884</v>
      </c>
      <c r="AG12" s="201"/>
      <c r="AK12" s="194">
        <v>210733</v>
      </c>
      <c r="AL12" s="196">
        <f t="shared" ref="AL12:AL25" si="23">SUM(AM12:AO12)</f>
        <v>5651.6376666666665</v>
      </c>
      <c r="AM12" s="196">
        <v>192.471</v>
      </c>
      <c r="AN12" s="196">
        <f>5445/12*10</f>
        <v>4537.5</v>
      </c>
      <c r="AO12" s="196">
        <f>1106/12*10</f>
        <v>921.66666666666674</v>
      </c>
      <c r="AP12" s="194">
        <f t="shared" ref="AP12:AP25" si="24">AM12/4*12+(AN12+AO12)/10*12</f>
        <v>7128.4130000000005</v>
      </c>
      <c r="AQ12" s="196">
        <f t="shared" ref="AQ12:AQ25" si="25">ROUND(AP12,0)</f>
        <v>7128</v>
      </c>
      <c r="AT12" s="193">
        <f t="shared" si="8"/>
        <v>577.41300000000001</v>
      </c>
      <c r="AU12" s="193">
        <f t="shared" si="9"/>
        <v>5445</v>
      </c>
      <c r="AV12" s="193">
        <f t="shared" si="10"/>
        <v>1106</v>
      </c>
    </row>
    <row r="13" spans="1:49" ht="15.75">
      <c r="A13" s="83">
        <v>3</v>
      </c>
      <c r="B13" s="60" t="s">
        <v>918</v>
      </c>
      <c r="C13" s="191">
        <f t="shared" si="11"/>
        <v>410213.44500000001</v>
      </c>
      <c r="D13" s="191">
        <f t="shared" si="12"/>
        <v>65023</v>
      </c>
      <c r="E13" s="191"/>
      <c r="F13" s="191"/>
      <c r="G13" s="191">
        <v>27623</v>
      </c>
      <c r="H13" s="191">
        <v>5400</v>
      </c>
      <c r="I13" s="191">
        <v>32000</v>
      </c>
      <c r="J13" s="191">
        <f t="shared" si="13"/>
        <v>345190.44500000001</v>
      </c>
      <c r="K13" s="191">
        <f>182740+4066-AN13</f>
        <v>186806</v>
      </c>
      <c r="L13" s="191"/>
      <c r="M13" s="191">
        <f t="shared" si="14"/>
        <v>473817.21822699998</v>
      </c>
      <c r="N13" s="191">
        <f t="shared" si="15"/>
        <v>104023</v>
      </c>
      <c r="O13" s="191"/>
      <c r="P13" s="191"/>
      <c r="Q13" s="191">
        <f>'22 - DG chi T+H2017'!M16</f>
        <v>27623</v>
      </c>
      <c r="R13" s="191">
        <f>'22 - DG chi T+H2017'!M18</f>
        <v>5400</v>
      </c>
      <c r="S13" s="191">
        <f>'22 - DG chi T+H2017'!M17</f>
        <v>71000</v>
      </c>
      <c r="T13" s="191">
        <f>'22 - DG chi T+H2017'!M19</f>
        <v>0</v>
      </c>
      <c r="U13" s="191">
        <f>'22 - DG chi T+H2017'!M27</f>
        <v>369794.21822699998</v>
      </c>
      <c r="V13" s="191">
        <f>'22 - DG chi T+H2017'!M29</f>
        <v>187889.533</v>
      </c>
      <c r="W13" s="191">
        <f>'22 - DG chi T+H2017'!M32</f>
        <v>0</v>
      </c>
      <c r="X13" s="201">
        <f t="shared" si="16"/>
        <v>1.1550504353337321</v>
      </c>
      <c r="Y13" s="201">
        <f t="shared" si="17"/>
        <v>1.5997877674053795</v>
      </c>
      <c r="Z13" s="201"/>
      <c r="AA13" s="201"/>
      <c r="AB13" s="201">
        <f t="shared" si="18"/>
        <v>1</v>
      </c>
      <c r="AC13" s="201">
        <f t="shared" si="19"/>
        <v>1</v>
      </c>
      <c r="AD13" s="201">
        <f t="shared" si="20"/>
        <v>2.21875</v>
      </c>
      <c r="AE13" s="201">
        <f t="shared" si="21"/>
        <v>1.0712759393644282</v>
      </c>
      <c r="AF13" s="201">
        <f t="shared" si="22"/>
        <v>1.0058003115531622</v>
      </c>
      <c r="AG13" s="201"/>
      <c r="AK13" s="194">
        <v>345497</v>
      </c>
      <c r="AL13" s="196">
        <f t="shared" si="23"/>
        <v>306.55500000000001</v>
      </c>
      <c r="AM13" s="196">
        <v>306.55500000000001</v>
      </c>
      <c r="AP13" s="194">
        <f t="shared" si="24"/>
        <v>919.66499999999996</v>
      </c>
      <c r="AQ13" s="196">
        <f t="shared" si="25"/>
        <v>920</v>
      </c>
      <c r="AT13" s="193">
        <f t="shared" si="8"/>
        <v>919.66499999999996</v>
      </c>
      <c r="AU13" s="193">
        <f t="shared" si="9"/>
        <v>0</v>
      </c>
      <c r="AV13" s="193">
        <f t="shared" si="10"/>
        <v>0</v>
      </c>
    </row>
    <row r="14" spans="1:49" ht="15.75">
      <c r="A14" s="83">
        <v>4</v>
      </c>
      <c r="B14" s="60" t="s">
        <v>919</v>
      </c>
      <c r="C14" s="191">
        <f t="shared" si="11"/>
        <v>294655.40700000001</v>
      </c>
      <c r="D14" s="191">
        <f t="shared" si="12"/>
        <v>30895</v>
      </c>
      <c r="E14" s="191"/>
      <c r="F14" s="191"/>
      <c r="G14" s="191">
        <v>12005</v>
      </c>
      <c r="H14" s="191">
        <v>9390</v>
      </c>
      <c r="I14" s="191">
        <v>9500</v>
      </c>
      <c r="J14" s="191">
        <f t="shared" si="13"/>
        <v>263760.40700000001</v>
      </c>
      <c r="K14" s="191">
        <f>131735+2443-AN14</f>
        <v>134178</v>
      </c>
      <c r="L14" s="191"/>
      <c r="M14" s="191">
        <f t="shared" si="14"/>
        <v>314305.75400000002</v>
      </c>
      <c r="N14" s="191">
        <f t="shared" si="15"/>
        <v>34145</v>
      </c>
      <c r="O14" s="191"/>
      <c r="P14" s="191"/>
      <c r="Q14" s="191">
        <f>'22 - DG chi T+H2017'!P16</f>
        <v>12005</v>
      </c>
      <c r="R14" s="191">
        <f>'22 - DG chi T+H2017'!P18</f>
        <v>9390</v>
      </c>
      <c r="S14" s="191">
        <f>'22 - DG chi T+H2017'!P17</f>
        <v>12750</v>
      </c>
      <c r="T14" s="191">
        <f>'22 - DG chi T+H2017'!P19</f>
        <v>0</v>
      </c>
      <c r="U14" s="191">
        <f>'22 - DG chi T+H2017'!P27</f>
        <v>280160.75400000002</v>
      </c>
      <c r="V14" s="191">
        <f>'22 - DG chi T+H2017'!P29</f>
        <v>136423</v>
      </c>
      <c r="W14" s="191">
        <f>'22 - DG chi T+H2017'!P32</f>
        <v>0</v>
      </c>
      <c r="X14" s="201">
        <f t="shared" si="16"/>
        <v>1.0666892462624995</v>
      </c>
      <c r="Y14" s="201">
        <f t="shared" si="17"/>
        <v>1.1051950153746561</v>
      </c>
      <c r="Z14" s="201"/>
      <c r="AA14" s="201"/>
      <c r="AB14" s="201">
        <f t="shared" si="18"/>
        <v>1</v>
      </c>
      <c r="AC14" s="201">
        <f t="shared" si="19"/>
        <v>1</v>
      </c>
      <c r="AD14" s="201">
        <f t="shared" si="20"/>
        <v>1.3421052631578947</v>
      </c>
      <c r="AE14" s="201">
        <f t="shared" si="21"/>
        <v>1.0621789569804538</v>
      </c>
      <c r="AF14" s="201">
        <f t="shared" si="22"/>
        <v>1.0167315059100597</v>
      </c>
      <c r="AG14" s="201"/>
      <c r="AK14" s="194">
        <v>264121</v>
      </c>
      <c r="AL14" s="196">
        <f t="shared" si="23"/>
        <v>360.59300000000002</v>
      </c>
      <c r="AM14" s="196">
        <v>360.59300000000002</v>
      </c>
      <c r="AP14" s="194">
        <f t="shared" si="24"/>
        <v>1081.779</v>
      </c>
      <c r="AQ14" s="196">
        <f t="shared" si="25"/>
        <v>1082</v>
      </c>
      <c r="AT14" s="193">
        <f t="shared" si="8"/>
        <v>1081.779</v>
      </c>
      <c r="AU14" s="193">
        <f t="shared" si="9"/>
        <v>0</v>
      </c>
      <c r="AV14" s="193">
        <f t="shared" si="10"/>
        <v>0</v>
      </c>
    </row>
    <row r="15" spans="1:49" ht="15.75">
      <c r="A15" s="83">
        <v>5</v>
      </c>
      <c r="B15" s="60" t="s">
        <v>920</v>
      </c>
      <c r="C15" s="191">
        <f t="shared" si="11"/>
        <v>232019.576</v>
      </c>
      <c r="D15" s="191">
        <f t="shared" si="12"/>
        <v>18901</v>
      </c>
      <c r="E15" s="191"/>
      <c r="F15" s="191"/>
      <c r="G15" s="191">
        <v>8741</v>
      </c>
      <c r="H15" s="191">
        <v>7160</v>
      </c>
      <c r="I15" s="191">
        <v>3000</v>
      </c>
      <c r="J15" s="191">
        <f t="shared" si="13"/>
        <v>213118.576</v>
      </c>
      <c r="K15" s="191">
        <f>110874+1978-AN15</f>
        <v>112852</v>
      </c>
      <c r="L15" s="191"/>
      <c r="M15" s="191">
        <f t="shared" si="14"/>
        <v>245547.94400000002</v>
      </c>
      <c r="N15" s="191">
        <f t="shared" si="15"/>
        <v>20401</v>
      </c>
      <c r="O15" s="191"/>
      <c r="P15" s="191"/>
      <c r="Q15" s="191">
        <f>'22 - DG chi T+H2017'!Y16</f>
        <v>8741</v>
      </c>
      <c r="R15" s="191">
        <f>'22 - DG chi T+H2017'!Y18</f>
        <v>7160</v>
      </c>
      <c r="S15" s="191">
        <f>'22 - DG chi T+H2017'!Y17</f>
        <v>4500</v>
      </c>
      <c r="T15" s="191">
        <f>'22 - DG chi T+H2017'!Y19</f>
        <v>0</v>
      </c>
      <c r="U15" s="191">
        <f>'22 - DG chi T+H2017'!Y27</f>
        <v>225146.94400000002</v>
      </c>
      <c r="V15" s="191">
        <f>'22 - DG chi T+H2017'!Y29</f>
        <v>114420.5</v>
      </c>
      <c r="W15" s="191">
        <f>'22 - DG chi T+H2017'!Y32</f>
        <v>0</v>
      </c>
      <c r="X15" s="201">
        <f t="shared" si="16"/>
        <v>1.0583070111290955</v>
      </c>
      <c r="Y15" s="201">
        <f t="shared" si="17"/>
        <v>1.0793608803766996</v>
      </c>
      <c r="Z15" s="201"/>
      <c r="AA15" s="201"/>
      <c r="AB15" s="201">
        <f t="shared" si="18"/>
        <v>1</v>
      </c>
      <c r="AC15" s="201">
        <f t="shared" si="19"/>
        <v>1</v>
      </c>
      <c r="AD15" s="201">
        <f t="shared" si="20"/>
        <v>1.5</v>
      </c>
      <c r="AE15" s="201">
        <f t="shared" si="21"/>
        <v>1.0564397915271357</v>
      </c>
      <c r="AF15" s="201">
        <f t="shared" si="22"/>
        <v>1.0138987346258816</v>
      </c>
      <c r="AG15" s="201"/>
      <c r="AK15" s="194">
        <v>213451</v>
      </c>
      <c r="AL15" s="196">
        <f t="shared" si="23"/>
        <v>332.42399999999998</v>
      </c>
      <c r="AM15" s="196">
        <v>332.42399999999998</v>
      </c>
      <c r="AP15" s="194">
        <f t="shared" si="24"/>
        <v>997.27199999999993</v>
      </c>
      <c r="AQ15" s="196">
        <f t="shared" si="25"/>
        <v>997</v>
      </c>
      <c r="AT15" s="193">
        <f t="shared" si="8"/>
        <v>997.27199999999993</v>
      </c>
      <c r="AU15" s="193">
        <f t="shared" si="9"/>
        <v>0</v>
      </c>
      <c r="AV15" s="193">
        <f t="shared" si="10"/>
        <v>0</v>
      </c>
    </row>
    <row r="16" spans="1:49" ht="15.75">
      <c r="A16" s="83">
        <v>6</v>
      </c>
      <c r="B16" s="60" t="s">
        <v>921</v>
      </c>
      <c r="C16" s="191">
        <f t="shared" si="11"/>
        <v>313903.27799999999</v>
      </c>
      <c r="D16" s="191">
        <f t="shared" si="12"/>
        <v>21766</v>
      </c>
      <c r="E16" s="191"/>
      <c r="F16" s="191"/>
      <c r="G16" s="191">
        <v>10606</v>
      </c>
      <c r="H16" s="191">
        <v>6160</v>
      </c>
      <c r="I16" s="191">
        <v>5000</v>
      </c>
      <c r="J16" s="191">
        <f t="shared" si="13"/>
        <v>292137.27799999999</v>
      </c>
      <c r="K16" s="191">
        <f>162683+2660-AN16</f>
        <v>165343</v>
      </c>
      <c r="L16" s="191"/>
      <c r="M16" s="191">
        <f t="shared" si="14"/>
        <v>335238.59042299999</v>
      </c>
      <c r="N16" s="191">
        <f t="shared" si="15"/>
        <v>27266</v>
      </c>
      <c r="O16" s="191"/>
      <c r="P16" s="191"/>
      <c r="Q16" s="191">
        <f>'22 - DG chi T+H2017'!T16</f>
        <v>10606</v>
      </c>
      <c r="R16" s="191">
        <f>'22 - DG chi T+H2017'!T18</f>
        <v>6160</v>
      </c>
      <c r="S16" s="191">
        <f>'22 - DG chi T+H2017'!T17</f>
        <v>10500</v>
      </c>
      <c r="T16" s="191">
        <f>'22 - DG chi T+H2017'!T19</f>
        <v>0</v>
      </c>
      <c r="U16" s="191">
        <f>'22 - DG chi T+H2017'!T27</f>
        <v>307972.59042299999</v>
      </c>
      <c r="V16" s="191">
        <f>'22 - DG chi T+H2017'!T29</f>
        <v>168082.36300000001</v>
      </c>
      <c r="W16" s="191">
        <f>'22 - DG chi T+H2017'!T32</f>
        <v>0</v>
      </c>
      <c r="X16" s="201">
        <f t="shared" si="16"/>
        <v>1.0679677910945549</v>
      </c>
      <c r="Y16" s="201">
        <f t="shared" si="17"/>
        <v>1.252687678029955</v>
      </c>
      <c r="Z16" s="201"/>
      <c r="AA16" s="201"/>
      <c r="AB16" s="201">
        <f t="shared" si="18"/>
        <v>1</v>
      </c>
      <c r="AC16" s="201">
        <f t="shared" si="19"/>
        <v>1</v>
      </c>
      <c r="AD16" s="201">
        <f t="shared" si="20"/>
        <v>2.1</v>
      </c>
      <c r="AE16" s="201">
        <f t="shared" si="21"/>
        <v>1.0542050385743651</v>
      </c>
      <c r="AF16" s="201">
        <f t="shared" si="22"/>
        <v>1.0165677591431146</v>
      </c>
      <c r="AG16" s="201"/>
      <c r="AK16" s="194">
        <v>292397</v>
      </c>
      <c r="AL16" s="196">
        <f t="shared" si="23"/>
        <v>259.72199999999998</v>
      </c>
      <c r="AM16" s="196">
        <v>259.72199999999998</v>
      </c>
      <c r="AP16" s="194">
        <f t="shared" si="24"/>
        <v>779.16599999999994</v>
      </c>
      <c r="AQ16" s="196">
        <f t="shared" si="25"/>
        <v>779</v>
      </c>
      <c r="AT16" s="193">
        <f t="shared" si="8"/>
        <v>779.16599999999994</v>
      </c>
      <c r="AU16" s="193">
        <f t="shared" si="9"/>
        <v>0</v>
      </c>
      <c r="AV16" s="193">
        <f t="shared" si="10"/>
        <v>0</v>
      </c>
    </row>
    <row r="17" spans="1:49" ht="15.75">
      <c r="A17" s="83">
        <v>7</v>
      </c>
      <c r="B17" s="60" t="s">
        <v>922</v>
      </c>
      <c r="C17" s="191">
        <f t="shared" si="11"/>
        <v>601857.38599999994</v>
      </c>
      <c r="D17" s="191">
        <f t="shared" si="12"/>
        <v>100749</v>
      </c>
      <c r="E17" s="191"/>
      <c r="F17" s="191"/>
      <c r="G17" s="191">
        <v>31819</v>
      </c>
      <c r="H17" s="191">
        <v>7930</v>
      </c>
      <c r="I17" s="191">
        <v>61000</v>
      </c>
      <c r="J17" s="191">
        <f t="shared" si="13"/>
        <v>501108.386</v>
      </c>
      <c r="K17" s="191">
        <f>271648+5917-AN17</f>
        <v>277565</v>
      </c>
      <c r="L17" s="191"/>
      <c r="M17" s="191">
        <f t="shared" si="14"/>
        <v>748404.88910300005</v>
      </c>
      <c r="N17" s="191">
        <f t="shared" si="15"/>
        <v>220249</v>
      </c>
      <c r="O17" s="191"/>
      <c r="P17" s="191"/>
      <c r="Q17" s="191">
        <f>'22 - DG chi T+H2017'!Q16</f>
        <v>31819</v>
      </c>
      <c r="R17" s="191">
        <f>'22 - DG chi T+H2017'!Q18</f>
        <v>7930</v>
      </c>
      <c r="S17" s="191">
        <f>'22 - DG chi T+H2017'!Q17</f>
        <v>180500</v>
      </c>
      <c r="T17" s="191">
        <f>'22 - DG chi T+H2017'!Q19</f>
        <v>0</v>
      </c>
      <c r="U17" s="191">
        <f>'22 - DG chi T+H2017'!Q27</f>
        <v>528155.88910300005</v>
      </c>
      <c r="V17" s="191">
        <f>'22 - DG chi T+H2017'!Q29</f>
        <v>281337.90299999999</v>
      </c>
      <c r="W17" s="191">
        <f>'22 - DG chi T+H2017'!Q32</f>
        <v>0</v>
      </c>
      <c r="X17" s="201">
        <f t="shared" si="16"/>
        <v>1.2434920738897439</v>
      </c>
      <c r="Y17" s="201">
        <f t="shared" si="17"/>
        <v>2.1861159912257193</v>
      </c>
      <c r="Z17" s="201"/>
      <c r="AA17" s="201"/>
      <c r="AB17" s="201">
        <f t="shared" si="18"/>
        <v>1</v>
      </c>
      <c r="AC17" s="201">
        <f t="shared" si="19"/>
        <v>1</v>
      </c>
      <c r="AD17" s="201">
        <f t="shared" si="20"/>
        <v>2.959016393442623</v>
      </c>
      <c r="AE17" s="201">
        <f t="shared" si="21"/>
        <v>1.0539753551500135</v>
      </c>
      <c r="AF17" s="201">
        <f t="shared" si="22"/>
        <v>1.0135928629330067</v>
      </c>
      <c r="AG17" s="201"/>
      <c r="AK17" s="194">
        <v>501483</v>
      </c>
      <c r="AL17" s="196">
        <f t="shared" si="23"/>
        <v>374.61399999999998</v>
      </c>
      <c r="AM17" s="196">
        <v>374.61399999999998</v>
      </c>
      <c r="AP17" s="194">
        <f t="shared" si="24"/>
        <v>1123.8419999999999</v>
      </c>
      <c r="AQ17" s="196">
        <f t="shared" si="25"/>
        <v>1124</v>
      </c>
      <c r="AT17" s="193">
        <f t="shared" si="8"/>
        <v>1123.8419999999999</v>
      </c>
      <c r="AU17" s="193">
        <f t="shared" si="9"/>
        <v>0</v>
      </c>
      <c r="AV17" s="193">
        <f t="shared" si="10"/>
        <v>0</v>
      </c>
    </row>
    <row r="18" spans="1:49" ht="15.75">
      <c r="A18" s="83">
        <v>8</v>
      </c>
      <c r="B18" s="60" t="s">
        <v>923</v>
      </c>
      <c r="C18" s="191">
        <f t="shared" si="11"/>
        <v>276950.36933333334</v>
      </c>
      <c r="D18" s="191">
        <f t="shared" si="12"/>
        <v>30610</v>
      </c>
      <c r="E18" s="191"/>
      <c r="F18" s="191"/>
      <c r="G18" s="191">
        <v>16020</v>
      </c>
      <c r="H18" s="191">
        <v>9590</v>
      </c>
      <c r="I18" s="191">
        <v>5000</v>
      </c>
      <c r="J18" s="191">
        <f t="shared" si="13"/>
        <v>246340.36933333334</v>
      </c>
      <c r="K18" s="191">
        <f>119141+2198-AN18</f>
        <v>115039</v>
      </c>
      <c r="L18" s="191"/>
      <c r="M18" s="191">
        <f t="shared" si="14"/>
        <v>313146.30799999996</v>
      </c>
      <c r="N18" s="191">
        <f t="shared" si="15"/>
        <v>46908</v>
      </c>
      <c r="O18" s="191"/>
      <c r="P18" s="191"/>
      <c r="Q18" s="191">
        <f>'22 - DG chi T+H2017'!Z16</f>
        <v>16020</v>
      </c>
      <c r="R18" s="191">
        <f>'22 - DG chi T+H2017'!Z18</f>
        <v>9590</v>
      </c>
      <c r="S18" s="191">
        <f>'22 - DG chi T+H2017'!Z17</f>
        <v>19000</v>
      </c>
      <c r="T18" s="191">
        <f>'22 - DG chi T+H2017'!Z19</f>
        <v>2298</v>
      </c>
      <c r="U18" s="191">
        <f>'22 - DG chi T+H2017'!Z27</f>
        <v>266238.30799999996</v>
      </c>
      <c r="V18" s="191">
        <f>'22 - DG chi T+H2017'!Z29</f>
        <v>120673</v>
      </c>
      <c r="W18" s="191">
        <f>'22 - DG chi T+H2017'!Z32</f>
        <v>0</v>
      </c>
      <c r="X18" s="201">
        <f t="shared" si="16"/>
        <v>1.1306946755615326</v>
      </c>
      <c r="Y18" s="201">
        <f t="shared" si="17"/>
        <v>1.5324403789611238</v>
      </c>
      <c r="Z18" s="201"/>
      <c r="AA18" s="201"/>
      <c r="AB18" s="201">
        <f t="shared" si="18"/>
        <v>1</v>
      </c>
      <c r="AC18" s="201">
        <f t="shared" si="19"/>
        <v>1</v>
      </c>
      <c r="AD18" s="201">
        <f t="shared" si="20"/>
        <v>3.8</v>
      </c>
      <c r="AE18" s="201">
        <f t="shared" si="21"/>
        <v>1.0807741691729864</v>
      </c>
      <c r="AF18" s="201">
        <f t="shared" si="22"/>
        <v>1.048974695538035</v>
      </c>
      <c r="AG18" s="201"/>
      <c r="AK18" s="194">
        <v>255960</v>
      </c>
      <c r="AL18" s="196">
        <f t="shared" si="23"/>
        <v>9619.630666666666</v>
      </c>
      <c r="AM18" s="196">
        <v>200.464</v>
      </c>
      <c r="AN18" s="196">
        <f>7560/12*10</f>
        <v>6300</v>
      </c>
      <c r="AO18" s="196">
        <f>3743*10/12</f>
        <v>3119.1666666666665</v>
      </c>
      <c r="AP18" s="194">
        <f t="shared" si="24"/>
        <v>11904.392</v>
      </c>
      <c r="AQ18" s="196">
        <f t="shared" si="25"/>
        <v>11904</v>
      </c>
      <c r="AT18" s="193">
        <f t="shared" si="8"/>
        <v>601.39200000000005</v>
      </c>
      <c r="AU18" s="193">
        <f t="shared" si="9"/>
        <v>7560</v>
      </c>
      <c r="AV18" s="193">
        <f t="shared" si="10"/>
        <v>3742.9999999999995</v>
      </c>
    </row>
    <row r="19" spans="1:49" ht="15.75">
      <c r="A19" s="83">
        <v>9</v>
      </c>
      <c r="B19" s="60" t="s">
        <v>924</v>
      </c>
      <c r="C19" s="191">
        <f t="shared" si="11"/>
        <v>437574.68699999998</v>
      </c>
      <c r="D19" s="191">
        <f t="shared" si="12"/>
        <v>47662</v>
      </c>
      <c r="E19" s="191"/>
      <c r="F19" s="191"/>
      <c r="G19" s="191">
        <v>18532</v>
      </c>
      <c r="H19" s="191">
        <v>7130</v>
      </c>
      <c r="I19" s="191">
        <v>22000</v>
      </c>
      <c r="J19" s="191">
        <f t="shared" si="13"/>
        <v>389912.68699999998</v>
      </c>
      <c r="K19" s="191">
        <f>199883+4619-AN19</f>
        <v>204502</v>
      </c>
      <c r="L19" s="191"/>
      <c r="M19" s="191">
        <f t="shared" si="14"/>
        <v>505476.10275166674</v>
      </c>
      <c r="N19" s="191">
        <f t="shared" si="15"/>
        <v>92501.393299999996</v>
      </c>
      <c r="O19" s="191"/>
      <c r="P19" s="191"/>
      <c r="Q19" s="191">
        <f>'22 - DG chi T+H2017'!S16</f>
        <v>18532</v>
      </c>
      <c r="R19" s="191">
        <f>'22 - DG chi T+H2017'!S18</f>
        <v>7130</v>
      </c>
      <c r="S19" s="191">
        <f>'22 - DG chi T+H2017'!S17</f>
        <v>56000</v>
      </c>
      <c r="T19" s="191">
        <f>'22 - DG chi T+H2017'!S19</f>
        <v>10839.3933</v>
      </c>
      <c r="U19" s="191">
        <f>'22 - DG chi T+H2017'!S27</f>
        <v>412974.70945166674</v>
      </c>
      <c r="V19" s="191">
        <f>'22 - DG chi T+H2017'!S29</f>
        <v>207245.45</v>
      </c>
      <c r="W19" s="191">
        <f>'22 - DG chi T+H2017'!S32</f>
        <v>0</v>
      </c>
      <c r="X19" s="201">
        <f t="shared" si="16"/>
        <v>1.1551767452939223</v>
      </c>
      <c r="Y19" s="201">
        <f t="shared" si="17"/>
        <v>1.9407786769334059</v>
      </c>
      <c r="Z19" s="201"/>
      <c r="AA19" s="201"/>
      <c r="AB19" s="201">
        <f t="shared" si="18"/>
        <v>1</v>
      </c>
      <c r="AC19" s="201">
        <f t="shared" si="19"/>
        <v>1</v>
      </c>
      <c r="AD19" s="201">
        <f t="shared" si="20"/>
        <v>2.5454545454545454</v>
      </c>
      <c r="AE19" s="201">
        <f t="shared" si="21"/>
        <v>1.0591466326194889</v>
      </c>
      <c r="AF19" s="201">
        <f t="shared" si="22"/>
        <v>1.0134152722222767</v>
      </c>
      <c r="AG19" s="201"/>
      <c r="AK19" s="194">
        <v>390197</v>
      </c>
      <c r="AL19" s="196">
        <f t="shared" si="23"/>
        <v>284.31299999999999</v>
      </c>
      <c r="AM19" s="196">
        <v>284.31299999999999</v>
      </c>
      <c r="AP19" s="194">
        <f t="shared" si="24"/>
        <v>852.93899999999996</v>
      </c>
      <c r="AQ19" s="196">
        <f t="shared" si="25"/>
        <v>853</v>
      </c>
      <c r="AT19" s="193">
        <f t="shared" si="8"/>
        <v>852.93899999999996</v>
      </c>
      <c r="AU19" s="193">
        <f t="shared" si="9"/>
        <v>0</v>
      </c>
      <c r="AV19" s="193">
        <f t="shared" si="10"/>
        <v>0</v>
      </c>
    </row>
    <row r="20" spans="1:49" ht="15.75">
      <c r="A20" s="83">
        <v>10</v>
      </c>
      <c r="B20" s="60" t="s">
        <v>925</v>
      </c>
      <c r="C20" s="191">
        <f t="shared" si="11"/>
        <v>412364.25400000002</v>
      </c>
      <c r="D20" s="191">
        <f t="shared" si="12"/>
        <v>44563</v>
      </c>
      <c r="E20" s="191"/>
      <c r="F20" s="191"/>
      <c r="G20" s="191">
        <v>17133</v>
      </c>
      <c r="H20" s="191">
        <v>7430</v>
      </c>
      <c r="I20" s="191">
        <v>20000</v>
      </c>
      <c r="J20" s="191">
        <f t="shared" si="13"/>
        <v>367801.25400000002</v>
      </c>
      <c r="K20" s="191">
        <f>194092+4634-AN20</f>
        <v>198726</v>
      </c>
      <c r="L20" s="191"/>
      <c r="M20" s="191">
        <f t="shared" si="14"/>
        <v>482153.94080000004</v>
      </c>
      <c r="N20" s="191">
        <f t="shared" si="15"/>
        <v>96967.5</v>
      </c>
      <c r="O20" s="191"/>
      <c r="P20" s="191"/>
      <c r="Q20" s="191">
        <f>'22 - DG chi T+H2017'!N16</f>
        <v>17133</v>
      </c>
      <c r="R20" s="191">
        <f>'22 - DG chi T+H2017'!N18</f>
        <v>7430</v>
      </c>
      <c r="S20" s="191">
        <f>'22 - DG chi T+H2017'!N17</f>
        <v>72404.5</v>
      </c>
      <c r="T20" s="191">
        <f>'22 - DG chi T+H2017'!N19</f>
        <v>0</v>
      </c>
      <c r="U20" s="191">
        <f>'22 - DG chi T+H2017'!N27</f>
        <v>385186.44080000004</v>
      </c>
      <c r="V20" s="191">
        <f>'22 - DG chi T+H2017'!N29</f>
        <v>202819.55499999999</v>
      </c>
      <c r="W20" s="191">
        <f>'22 - DG chi T+H2017'!N32</f>
        <v>0</v>
      </c>
      <c r="X20" s="201">
        <f t="shared" si="16"/>
        <v>1.1692428141455733</v>
      </c>
      <c r="Y20" s="201">
        <f t="shared" si="17"/>
        <v>2.1759643650562124</v>
      </c>
      <c r="Z20" s="201"/>
      <c r="AA20" s="201"/>
      <c r="AB20" s="201">
        <f t="shared" si="18"/>
        <v>1</v>
      </c>
      <c r="AC20" s="201">
        <f t="shared" si="19"/>
        <v>1</v>
      </c>
      <c r="AD20" s="201">
        <f t="shared" si="20"/>
        <v>3.620225</v>
      </c>
      <c r="AE20" s="201">
        <f t="shared" si="21"/>
        <v>1.0472678834314144</v>
      </c>
      <c r="AF20" s="201">
        <f t="shared" si="22"/>
        <v>1.0205989905699304</v>
      </c>
      <c r="AG20" s="201"/>
      <c r="AK20" s="194">
        <v>368088</v>
      </c>
      <c r="AL20" s="196">
        <f t="shared" si="23"/>
        <v>286.74599999999998</v>
      </c>
      <c r="AM20" s="196">
        <v>286.74599999999998</v>
      </c>
      <c r="AP20" s="194">
        <f t="shared" si="24"/>
        <v>860.23799999999994</v>
      </c>
      <c r="AQ20" s="196">
        <f t="shared" si="25"/>
        <v>860</v>
      </c>
      <c r="AT20" s="193">
        <f t="shared" si="8"/>
        <v>860.23799999999994</v>
      </c>
      <c r="AU20" s="193">
        <f t="shared" si="9"/>
        <v>0</v>
      </c>
      <c r="AV20" s="193">
        <f t="shared" si="10"/>
        <v>0</v>
      </c>
    </row>
    <row r="21" spans="1:49" ht="15.75">
      <c r="A21" s="83">
        <v>11</v>
      </c>
      <c r="B21" s="60" t="s">
        <v>926</v>
      </c>
      <c r="C21" s="191">
        <f t="shared" si="11"/>
        <v>258646.69133333332</v>
      </c>
      <c r="D21" s="191">
        <f t="shared" si="12"/>
        <v>28099</v>
      </c>
      <c r="E21" s="191"/>
      <c r="F21" s="191"/>
      <c r="G21" s="191">
        <v>12329</v>
      </c>
      <c r="H21" s="191">
        <v>7770</v>
      </c>
      <c r="I21" s="191">
        <v>8000</v>
      </c>
      <c r="J21" s="191">
        <f t="shared" si="13"/>
        <v>230547.69133333332</v>
      </c>
      <c r="K21" s="191">
        <f>109163+1995-AN21</f>
        <v>108012.16666666667</v>
      </c>
      <c r="L21" s="191"/>
      <c r="M21" s="191">
        <f t="shared" si="14"/>
        <v>277607</v>
      </c>
      <c r="N21" s="191">
        <f t="shared" si="15"/>
        <v>34099</v>
      </c>
      <c r="O21" s="191"/>
      <c r="P21" s="191"/>
      <c r="Q21" s="191">
        <f>'22 - DG chi T+H2017'!U16</f>
        <v>12329</v>
      </c>
      <c r="R21" s="191">
        <f>'22 - DG chi T+H2017'!U18</f>
        <v>7770</v>
      </c>
      <c r="S21" s="191">
        <f>'22 - DG chi T+H2017'!U17</f>
        <v>14000</v>
      </c>
      <c r="T21" s="191">
        <f>'22 - DG chi T+H2017'!U19</f>
        <v>0</v>
      </c>
      <c r="U21" s="191">
        <f>'22 - DG chi T+H2017'!U27</f>
        <v>243508</v>
      </c>
      <c r="V21" s="191">
        <f>'22 - DG chi T+H2017'!U29</f>
        <v>110416</v>
      </c>
      <c r="W21" s="191">
        <f>'22 - DG chi T+H2017'!U32</f>
        <v>0</v>
      </c>
      <c r="X21" s="201">
        <f t="shared" si="16"/>
        <v>1.073305823356663</v>
      </c>
      <c r="Y21" s="201">
        <f t="shared" si="17"/>
        <v>1.2135307306309833</v>
      </c>
      <c r="Z21" s="201"/>
      <c r="AA21" s="201"/>
      <c r="AB21" s="201">
        <f t="shared" si="18"/>
        <v>1</v>
      </c>
      <c r="AC21" s="201">
        <f t="shared" si="19"/>
        <v>1</v>
      </c>
      <c r="AD21" s="201">
        <f t="shared" si="20"/>
        <v>1.75</v>
      </c>
      <c r="AE21" s="201">
        <f t="shared" si="21"/>
        <v>1.0562153044852149</v>
      </c>
      <c r="AF21" s="201">
        <f t="shared" si="22"/>
        <v>1.0222552089039352</v>
      </c>
      <c r="AG21" s="201"/>
      <c r="AK21" s="194">
        <v>234190</v>
      </c>
      <c r="AL21" s="196">
        <f t="shared" si="23"/>
        <v>3642.3086666666663</v>
      </c>
      <c r="AM21" s="196">
        <v>492.017</v>
      </c>
      <c r="AN21" s="196">
        <f>3775/12*10</f>
        <v>3145.833333333333</v>
      </c>
      <c r="AO21" s="196">
        <f>535/12/10</f>
        <v>4.4583333333333339</v>
      </c>
      <c r="AP21" s="194">
        <f t="shared" si="24"/>
        <v>5256.4009999999998</v>
      </c>
      <c r="AQ21" s="196">
        <f t="shared" si="25"/>
        <v>5256</v>
      </c>
      <c r="AS21">
        <f>+AN21/10*12</f>
        <v>3775</v>
      </c>
      <c r="AT21" s="193">
        <f t="shared" si="8"/>
        <v>1476.0509999999999</v>
      </c>
      <c r="AU21" s="193">
        <f t="shared" si="9"/>
        <v>3775</v>
      </c>
      <c r="AV21" s="193">
        <f t="shared" si="10"/>
        <v>5.3500000000000014</v>
      </c>
    </row>
    <row r="22" spans="1:49" ht="15.75">
      <c r="A22" s="83">
        <v>12</v>
      </c>
      <c r="B22" s="60" t="s">
        <v>927</v>
      </c>
      <c r="C22" s="191">
        <f t="shared" si="11"/>
        <v>291741.59000000003</v>
      </c>
      <c r="D22" s="191">
        <f t="shared" si="12"/>
        <v>25365</v>
      </c>
      <c r="E22" s="191"/>
      <c r="F22" s="191"/>
      <c r="G22" s="191">
        <v>12005</v>
      </c>
      <c r="H22" s="191">
        <v>7860</v>
      </c>
      <c r="I22" s="191">
        <v>5500</v>
      </c>
      <c r="J22" s="191">
        <f t="shared" si="13"/>
        <v>266376.59000000003</v>
      </c>
      <c r="K22" s="191">
        <f>121958+2585-AN22</f>
        <v>124543</v>
      </c>
      <c r="L22" s="191"/>
      <c r="M22" s="191">
        <f t="shared" si="14"/>
        <v>311964.33333333331</v>
      </c>
      <c r="N22" s="191">
        <f t="shared" si="15"/>
        <v>30115</v>
      </c>
      <c r="O22" s="191"/>
      <c r="P22" s="191"/>
      <c r="Q22" s="191">
        <f>'22 - DG chi T+H2017'!R16</f>
        <v>12005</v>
      </c>
      <c r="R22" s="191">
        <f>+'22 - DG chi T+H2017'!R18</f>
        <v>7860</v>
      </c>
      <c r="S22" s="191">
        <f>+'22 - DG chi T+H2017'!R17</f>
        <v>10250</v>
      </c>
      <c r="T22" s="191">
        <f>+'22 - DG chi T+H2017'!R19</f>
        <v>0</v>
      </c>
      <c r="U22" s="191">
        <f>+'22 - DG chi T+H2017'!R27</f>
        <v>281849.33333333331</v>
      </c>
      <c r="V22" s="191">
        <f>+'22 - DG chi T+H2017'!R29</f>
        <v>126800.5</v>
      </c>
      <c r="W22" s="191">
        <f>+'22 - DG chi T+H2017'!R32</f>
        <v>0</v>
      </c>
      <c r="X22" s="201">
        <f t="shared" si="16"/>
        <v>1.0693173137684391</v>
      </c>
      <c r="Y22" s="201">
        <f t="shared" si="17"/>
        <v>1.1872659176029963</v>
      </c>
      <c r="Z22" s="201"/>
      <c r="AA22" s="201"/>
      <c r="AB22" s="201">
        <f t="shared" si="18"/>
        <v>1</v>
      </c>
      <c r="AC22" s="201">
        <f t="shared" si="19"/>
        <v>1</v>
      </c>
      <c r="AD22" s="201">
        <f t="shared" si="20"/>
        <v>1.8636363636363635</v>
      </c>
      <c r="AE22" s="201">
        <f t="shared" si="21"/>
        <v>1.0580859726950229</v>
      </c>
      <c r="AF22" s="201">
        <f t="shared" si="22"/>
        <v>1.0181262696418105</v>
      </c>
      <c r="AG22" s="201"/>
      <c r="AK22" s="194">
        <v>266927</v>
      </c>
      <c r="AL22" s="196">
        <f t="shared" si="23"/>
        <v>550.41</v>
      </c>
      <c r="AM22" s="196">
        <v>550.41</v>
      </c>
      <c r="AP22" s="194">
        <f t="shared" si="24"/>
        <v>1651.23</v>
      </c>
      <c r="AQ22" s="196">
        <f t="shared" si="25"/>
        <v>1651</v>
      </c>
      <c r="AT22" s="193">
        <f t="shared" si="8"/>
        <v>1651.23</v>
      </c>
      <c r="AU22" s="193">
        <f t="shared" si="9"/>
        <v>0</v>
      </c>
      <c r="AV22" s="193">
        <f t="shared" si="10"/>
        <v>0</v>
      </c>
    </row>
    <row r="23" spans="1:49" ht="15.75">
      <c r="A23" s="83">
        <v>13</v>
      </c>
      <c r="B23" s="60" t="s">
        <v>928</v>
      </c>
      <c r="C23" s="191">
        <f t="shared" si="11"/>
        <v>162395.125</v>
      </c>
      <c r="D23" s="191">
        <f t="shared" si="12"/>
        <v>21971</v>
      </c>
      <c r="E23" s="191"/>
      <c r="F23" s="191"/>
      <c r="G23" s="191">
        <v>9881</v>
      </c>
      <c r="H23" s="191">
        <v>8090</v>
      </c>
      <c r="I23" s="191">
        <v>4000</v>
      </c>
      <c r="J23" s="191">
        <f t="shared" si="13"/>
        <v>140424.125</v>
      </c>
      <c r="K23" s="191">
        <f>48698+1151-AN23</f>
        <v>47939</v>
      </c>
      <c r="L23" s="191"/>
      <c r="M23" s="191">
        <f t="shared" si="14"/>
        <v>174698.71400000001</v>
      </c>
      <c r="N23" s="191">
        <f t="shared" si="15"/>
        <v>22971</v>
      </c>
      <c r="O23" s="191"/>
      <c r="P23" s="191"/>
      <c r="Q23" s="191">
        <f>'22 - DG chi T+H2017'!AA16</f>
        <v>9881</v>
      </c>
      <c r="R23" s="191">
        <f>'22 - DG chi T+H2017'!AA18</f>
        <v>8090</v>
      </c>
      <c r="S23" s="191">
        <f>'22 - DG chi T+H2017'!AA17</f>
        <v>5000</v>
      </c>
      <c r="T23" s="191">
        <f>'22 - DG chi T+H2017'!AA19</f>
        <v>0</v>
      </c>
      <c r="U23" s="191">
        <f>'22 - DG chi T+H2017'!AA27</f>
        <v>151727.71400000001</v>
      </c>
      <c r="V23" s="191">
        <f>'22 - DG chi T+H2017'!AA29</f>
        <v>50254.554000000004</v>
      </c>
      <c r="W23" s="191">
        <f>'22 - DG chi T+H2017'!AA32</f>
        <v>0</v>
      </c>
      <c r="X23" s="201">
        <f t="shared" si="16"/>
        <v>1.0757632903081298</v>
      </c>
      <c r="Y23" s="201">
        <f t="shared" si="17"/>
        <v>1.0455145418961358</v>
      </c>
      <c r="Z23" s="201"/>
      <c r="AA23" s="201"/>
      <c r="AB23" s="201">
        <f t="shared" si="18"/>
        <v>1</v>
      </c>
      <c r="AC23" s="201">
        <f t="shared" si="19"/>
        <v>1</v>
      </c>
      <c r="AD23" s="201">
        <f t="shared" si="20"/>
        <v>1.25</v>
      </c>
      <c r="AE23" s="201">
        <f t="shared" si="21"/>
        <v>1.0804960614851615</v>
      </c>
      <c r="AF23" s="201">
        <f t="shared" si="22"/>
        <v>1.0483020922422246</v>
      </c>
      <c r="AG23" s="201"/>
      <c r="AK23" s="194">
        <v>143008</v>
      </c>
      <c r="AL23" s="196">
        <f t="shared" si="23"/>
        <v>2583.875</v>
      </c>
      <c r="AM23" s="196">
        <v>233.875</v>
      </c>
      <c r="AN23" s="196">
        <f>191*10</f>
        <v>1910</v>
      </c>
      <c r="AO23" s="196">
        <f>44*10</f>
        <v>440</v>
      </c>
      <c r="AP23" s="194">
        <f t="shared" si="24"/>
        <v>3521.625</v>
      </c>
      <c r="AQ23" s="196">
        <f t="shared" si="25"/>
        <v>3522</v>
      </c>
      <c r="AT23" s="193">
        <f t="shared" si="8"/>
        <v>701.625</v>
      </c>
      <c r="AU23" s="193">
        <f t="shared" si="9"/>
        <v>2292</v>
      </c>
      <c r="AV23" s="193">
        <f t="shared" si="10"/>
        <v>528</v>
      </c>
    </row>
    <row r="24" spans="1:49" ht="15.75">
      <c r="A24" s="83">
        <v>14</v>
      </c>
      <c r="B24" s="60" t="s">
        <v>929</v>
      </c>
      <c r="C24" s="191">
        <f t="shared" si="11"/>
        <v>256895.05600000001</v>
      </c>
      <c r="D24" s="191">
        <f t="shared" si="12"/>
        <v>24286</v>
      </c>
      <c r="E24" s="191"/>
      <c r="F24" s="191"/>
      <c r="G24" s="191">
        <v>13456</v>
      </c>
      <c r="H24" s="191">
        <v>5330</v>
      </c>
      <c r="I24" s="191">
        <v>5500</v>
      </c>
      <c r="J24" s="191">
        <f t="shared" si="13"/>
        <v>232609.05600000001</v>
      </c>
      <c r="K24" s="191">
        <f>111806+1841-AN24</f>
        <v>102032</v>
      </c>
      <c r="L24" s="191"/>
      <c r="M24" s="191">
        <f t="shared" si="14"/>
        <v>285701.18333333335</v>
      </c>
      <c r="N24" s="191">
        <f t="shared" si="15"/>
        <v>30852.6</v>
      </c>
      <c r="O24" s="191"/>
      <c r="P24" s="191"/>
      <c r="Q24" s="191">
        <f>'22 - DG chi T+H2017'!V16</f>
        <v>13456</v>
      </c>
      <c r="R24" s="191">
        <f>'22 - DG chi T+H2017'!V18</f>
        <v>5330</v>
      </c>
      <c r="S24" s="191">
        <f>'22 - DG chi T+H2017'!V17</f>
        <v>9750</v>
      </c>
      <c r="T24" s="191">
        <f>'22 - DG chi T+H2017'!V19</f>
        <v>2316.6</v>
      </c>
      <c r="U24" s="191">
        <f>'22 - DG chi T+H2017'!V27</f>
        <v>254848.58333333334</v>
      </c>
      <c r="V24" s="191">
        <f>'22 - DG chi T+H2017'!V29</f>
        <v>110737.66666666667</v>
      </c>
      <c r="W24" s="191">
        <f>'22 - DG chi T+H2017'!V32</f>
        <v>0</v>
      </c>
      <c r="X24" s="201">
        <f t="shared" si="16"/>
        <v>1.1121318867784413</v>
      </c>
      <c r="Y24" s="201">
        <f t="shared" si="17"/>
        <v>1.2703862307502265</v>
      </c>
      <c r="Z24" s="201"/>
      <c r="AA24" s="201"/>
      <c r="AB24" s="201">
        <f t="shared" si="18"/>
        <v>1</v>
      </c>
      <c r="AC24" s="201">
        <f t="shared" si="19"/>
        <v>1</v>
      </c>
      <c r="AD24" s="201">
        <f t="shared" si="20"/>
        <v>1.7727272727272727</v>
      </c>
      <c r="AE24" s="201">
        <f t="shared" si="21"/>
        <v>1.0956090348147638</v>
      </c>
      <c r="AF24" s="201">
        <f t="shared" si="22"/>
        <v>1.0853229052323454</v>
      </c>
      <c r="AG24" s="201"/>
      <c r="AK24" s="194">
        <v>247444</v>
      </c>
      <c r="AL24" s="196">
        <f t="shared" si="23"/>
        <v>14834.944</v>
      </c>
      <c r="AM24" s="196">
        <v>302.44400000000002</v>
      </c>
      <c r="AN24" s="196">
        <f>1161.5*10</f>
        <v>11615</v>
      </c>
      <c r="AO24" s="196">
        <f>291.75*10</f>
        <v>2917.5</v>
      </c>
      <c r="AP24" s="194">
        <f t="shared" si="24"/>
        <v>18346.331999999999</v>
      </c>
      <c r="AQ24" s="196">
        <f t="shared" si="25"/>
        <v>18346</v>
      </c>
      <c r="AT24" s="193">
        <f t="shared" si="8"/>
        <v>907.33200000000011</v>
      </c>
      <c r="AU24" s="193">
        <f t="shared" si="9"/>
        <v>13938</v>
      </c>
      <c r="AV24" s="193">
        <f t="shared" si="10"/>
        <v>3501</v>
      </c>
    </row>
    <row r="25" spans="1:49" ht="15.75">
      <c r="A25" s="83">
        <v>15</v>
      </c>
      <c r="B25" s="60" t="s">
        <v>930</v>
      </c>
      <c r="C25" s="191">
        <f t="shared" si="11"/>
        <v>249679.09433333334</v>
      </c>
      <c r="D25" s="191">
        <f t="shared" si="12"/>
        <v>26229</v>
      </c>
      <c r="E25" s="192"/>
      <c r="F25" s="192"/>
      <c r="G25" s="192">
        <v>12899</v>
      </c>
      <c r="H25" s="192">
        <v>6330</v>
      </c>
      <c r="I25" s="192">
        <v>7000</v>
      </c>
      <c r="J25" s="191">
        <f t="shared" si="13"/>
        <v>223450.09433333334</v>
      </c>
      <c r="K25" s="191">
        <f>86193+1780-AN25</f>
        <v>83126.333333333328</v>
      </c>
      <c r="L25" s="192"/>
      <c r="M25" s="191">
        <f t="shared" si="14"/>
        <v>270151.07333400002</v>
      </c>
      <c r="N25" s="191">
        <f t="shared" si="15"/>
        <v>30229</v>
      </c>
      <c r="O25" s="192"/>
      <c r="P25" s="192"/>
      <c r="Q25" s="192">
        <f>'22 - DG chi T+H2017'!X16</f>
        <v>12899</v>
      </c>
      <c r="R25" s="192">
        <f>'22 - DG chi T+H2017'!X18</f>
        <v>6330</v>
      </c>
      <c r="S25" s="192">
        <f>'22 - DG chi T+H2017'!X17</f>
        <v>11000</v>
      </c>
      <c r="T25" s="192">
        <f>'22 - DG chi T+H2017'!X19</f>
        <v>0</v>
      </c>
      <c r="U25" s="192">
        <f>'22 - DG chi T+H2017'!X27</f>
        <v>239922.07333400002</v>
      </c>
      <c r="V25" s="192">
        <f>'22 - DG chi T+H2017'!X29</f>
        <v>84549.5</v>
      </c>
      <c r="W25" s="192">
        <f>'22 - DG chi T+H2017'!X32</f>
        <v>0</v>
      </c>
      <c r="X25" s="201">
        <f t="shared" si="16"/>
        <v>1.081993164286857</v>
      </c>
      <c r="Y25" s="201">
        <f t="shared" si="17"/>
        <v>1.1525029547447483</v>
      </c>
      <c r="Z25" s="201"/>
      <c r="AA25" s="201"/>
      <c r="AB25" s="201">
        <f t="shared" si="18"/>
        <v>1</v>
      </c>
      <c r="AC25" s="201">
        <f t="shared" si="19"/>
        <v>1</v>
      </c>
      <c r="AD25" s="201">
        <f t="shared" si="20"/>
        <v>1.5714285714285714</v>
      </c>
      <c r="AE25" s="201">
        <f t="shared" si="21"/>
        <v>1.0737165900502799</v>
      </c>
      <c r="AF25" s="201">
        <f t="shared" si="22"/>
        <v>1.017120527390037</v>
      </c>
      <c r="AG25" s="201"/>
      <c r="AK25" s="194">
        <v>229747</v>
      </c>
      <c r="AL25" s="196">
        <f t="shared" si="23"/>
        <v>6296.9056666666702</v>
      </c>
      <c r="AM25" s="196">
        <v>497.73899999999998</v>
      </c>
      <c r="AN25" s="196">
        <f>484.666666666667*10</f>
        <v>4846.6666666666706</v>
      </c>
      <c r="AO25" s="196">
        <f>95.25*10</f>
        <v>952.5</v>
      </c>
      <c r="AP25" s="194">
        <f t="shared" si="24"/>
        <v>8452.217000000006</v>
      </c>
      <c r="AQ25" s="196">
        <f t="shared" si="25"/>
        <v>8452</v>
      </c>
      <c r="AT25" s="193">
        <f t="shared" si="8"/>
        <v>1493.2169999999999</v>
      </c>
      <c r="AU25" s="193">
        <f t="shared" si="9"/>
        <v>5816.0000000000055</v>
      </c>
      <c r="AV25" s="193">
        <f t="shared" si="10"/>
        <v>1143</v>
      </c>
    </row>
    <row r="26" spans="1:49" ht="15.75">
      <c r="A26" s="81"/>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K26" s="194"/>
    </row>
    <row r="27" spans="1:49" ht="15.75">
      <c r="A27" s="28" t="s">
        <v>528</v>
      </c>
    </row>
    <row r="28" spans="1:49" ht="15.75">
      <c r="A28" s="34" t="s">
        <v>544</v>
      </c>
    </row>
    <row r="29" spans="1:49" ht="15.75">
      <c r="A29" s="34" t="s">
        <v>543</v>
      </c>
    </row>
    <row r="31" spans="1:49">
      <c r="B31" t="s">
        <v>1049</v>
      </c>
    </row>
    <row r="32" spans="1:49" ht="15.75">
      <c r="A32" s="91"/>
      <c r="B32" s="72" t="s">
        <v>133</v>
      </c>
      <c r="C32" s="190">
        <f>SUM(C33:C47)</f>
        <v>4828777.9983333321</v>
      </c>
      <c r="D32" s="190">
        <f t="shared" ref="D32:W32" si="26">SUM(D33:D47)</f>
        <v>572285</v>
      </c>
      <c r="E32" s="190">
        <f t="shared" si="26"/>
        <v>0</v>
      </c>
      <c r="F32" s="190">
        <f t="shared" si="26"/>
        <v>0</v>
      </c>
      <c r="G32" s="190">
        <f t="shared" si="26"/>
        <v>245785</v>
      </c>
      <c r="H32" s="190">
        <f t="shared" si="26"/>
        <v>100000</v>
      </c>
      <c r="I32" s="190">
        <f t="shared" si="26"/>
        <v>226500</v>
      </c>
      <c r="J32" s="190">
        <f t="shared" si="26"/>
        <v>4256492.9983333331</v>
      </c>
      <c r="K32" s="190">
        <f t="shared" si="26"/>
        <v>2139883</v>
      </c>
      <c r="L32" s="190">
        <f t="shared" si="26"/>
        <v>0</v>
      </c>
      <c r="M32" s="190">
        <f t="shared" si="26"/>
        <v>1767817</v>
      </c>
      <c r="N32" s="190">
        <f t="shared" si="26"/>
        <v>292415</v>
      </c>
      <c r="O32" s="190">
        <f t="shared" si="26"/>
        <v>0</v>
      </c>
      <c r="P32" s="190">
        <f t="shared" si="26"/>
        <v>0</v>
      </c>
      <c r="Q32" s="190">
        <f t="shared" si="26"/>
        <v>89073</v>
      </c>
      <c r="R32" s="190">
        <f t="shared" si="26"/>
        <v>5400</v>
      </c>
      <c r="S32" s="190">
        <f t="shared" si="26"/>
        <v>98300</v>
      </c>
      <c r="T32" s="190">
        <f t="shared" si="26"/>
        <v>99642</v>
      </c>
      <c r="U32" s="190">
        <f t="shared" si="26"/>
        <v>1475402</v>
      </c>
      <c r="V32" s="190">
        <f t="shared" si="26"/>
        <v>727484</v>
      </c>
      <c r="W32" s="190">
        <f t="shared" si="26"/>
        <v>0</v>
      </c>
      <c r="X32" s="200">
        <f>M32/C32</f>
        <v>0.36610028471181894</v>
      </c>
      <c r="Y32" s="200">
        <f t="shared" ref="Y32:Y47" si="27">N32/D32</f>
        <v>0.51096044802851726</v>
      </c>
      <c r="Z32" s="200"/>
      <c r="AA32" s="200"/>
      <c r="AB32" s="200">
        <f t="shared" ref="AB32:AB47" si="28">Q32/G32</f>
        <v>0.36240209939581342</v>
      </c>
      <c r="AC32" s="200">
        <f t="shared" ref="AC32:AC47" si="29">R32/H32</f>
        <v>5.3999999999999999E-2</v>
      </c>
      <c r="AD32" s="200">
        <f t="shared" ref="AD32:AD47" si="30">S32/I32</f>
        <v>0.43399558498896246</v>
      </c>
      <c r="AE32" s="200">
        <f t="shared" ref="AE32:AE47" si="31">U32/J32</f>
        <v>0.34662385221300879</v>
      </c>
      <c r="AF32" s="200">
        <f t="shared" ref="AF32:AF47" si="32">V32/K32</f>
        <v>0.33996438123018874</v>
      </c>
      <c r="AG32" s="200"/>
      <c r="AK32" s="199"/>
      <c r="AL32" s="226">
        <f>SUM(AL33:AL47)</f>
        <v>45784.001666666671</v>
      </c>
      <c r="AM32" s="226">
        <f t="shared" ref="AM32:AP32" si="33">SUM(AM33:AM47)</f>
        <v>5073.71</v>
      </c>
      <c r="AN32" s="226">
        <f t="shared" si="33"/>
        <v>32355.000000000004</v>
      </c>
      <c r="AO32" s="226">
        <f t="shared" si="33"/>
        <v>8355.2916666666661</v>
      </c>
      <c r="AP32" s="226">
        <f t="shared" si="33"/>
        <v>64073.48000000001</v>
      </c>
      <c r="AQ32" s="226">
        <f>SUM(AQ33:AQ47)</f>
        <v>64072</v>
      </c>
      <c r="AR32" s="193"/>
      <c r="AT32" s="193">
        <f>+AM32/4*12</f>
        <v>15221.130000000001</v>
      </c>
      <c r="AU32" s="193">
        <f>+AN32/10*12</f>
        <v>38826.000000000007</v>
      </c>
      <c r="AV32" s="193">
        <f>+AO32/10*12</f>
        <v>10026.349999999999</v>
      </c>
      <c r="AW32" s="193">
        <f>+AV32+AU32+AT32</f>
        <v>64073.48000000001</v>
      </c>
    </row>
    <row r="33" spans="1:48" ht="15.75">
      <c r="A33" s="83">
        <v>1</v>
      </c>
      <c r="B33" s="60" t="s">
        <v>831</v>
      </c>
      <c r="C33" s="191">
        <f>D33+J33</f>
        <v>395316.67700000003</v>
      </c>
      <c r="D33" s="191">
        <f>G33+H33+I33</f>
        <v>56682</v>
      </c>
      <c r="E33" s="191"/>
      <c r="F33" s="191"/>
      <c r="G33" s="191">
        <v>32052</v>
      </c>
      <c r="H33" s="191">
        <v>2630</v>
      </c>
      <c r="I33" s="191">
        <v>22000</v>
      </c>
      <c r="J33" s="191">
        <f>AK33-AL33</f>
        <v>338634.67700000003</v>
      </c>
      <c r="K33" s="191">
        <f>181592+3620-AN33</f>
        <v>185212</v>
      </c>
      <c r="L33" s="191"/>
      <c r="M33" s="191">
        <f>N33+U33</f>
        <v>0</v>
      </c>
      <c r="N33" s="191">
        <f>+Q33+R33+S33+T33</f>
        <v>0</v>
      </c>
      <c r="O33" s="191"/>
      <c r="P33" s="191"/>
      <c r="Q33" s="191"/>
      <c r="R33" s="191"/>
      <c r="S33" s="191"/>
      <c r="T33" s="191"/>
      <c r="U33" s="191"/>
      <c r="V33" s="191"/>
      <c r="W33" s="191"/>
      <c r="X33" s="201">
        <f>M33/C33</f>
        <v>0</v>
      </c>
      <c r="Y33" s="201">
        <f t="shared" si="27"/>
        <v>0</v>
      </c>
      <c r="Z33" s="201"/>
      <c r="AA33" s="201"/>
      <c r="AB33" s="201">
        <f t="shared" si="28"/>
        <v>0</v>
      </c>
      <c r="AC33" s="201">
        <f t="shared" si="29"/>
        <v>0</v>
      </c>
      <c r="AD33" s="201">
        <f t="shared" si="30"/>
        <v>0</v>
      </c>
      <c r="AE33" s="201">
        <f t="shared" si="31"/>
        <v>0</v>
      </c>
      <c r="AF33" s="201">
        <f t="shared" si="32"/>
        <v>0</v>
      </c>
      <c r="AG33" s="201"/>
      <c r="AK33" s="194">
        <v>339034</v>
      </c>
      <c r="AL33" s="196">
        <f>SUM(AM33:AO33)</f>
        <v>399.32299999999998</v>
      </c>
      <c r="AM33" s="196">
        <v>399.32299999999998</v>
      </c>
      <c r="AP33" s="194">
        <f>AM33/4*12+(AN33+AO33)/10*12</f>
        <v>1197.9690000000001</v>
      </c>
      <c r="AQ33" s="196">
        <f>ROUND(AP33,0)</f>
        <v>1198</v>
      </c>
      <c r="AT33" s="193">
        <f t="shared" ref="AT33:AT47" si="34">+AM33/4*12</f>
        <v>1197.9690000000001</v>
      </c>
      <c r="AU33" s="193">
        <f t="shared" ref="AU33:AU47" si="35">+AN33/10*12</f>
        <v>0</v>
      </c>
      <c r="AV33" s="193">
        <f t="shared" ref="AV33:AV47" si="36">+AO33/10*12</f>
        <v>0</v>
      </c>
    </row>
    <row r="34" spans="1:48" ht="15.75">
      <c r="A34" s="83">
        <v>2</v>
      </c>
      <c r="B34" s="60" t="s">
        <v>917</v>
      </c>
      <c r="C34" s="191">
        <f t="shared" ref="C34:C47" si="37">D34+J34</f>
        <v>234565.36233333332</v>
      </c>
      <c r="D34" s="191">
        <f t="shared" ref="D34:D47" si="38">G34+H34+I34</f>
        <v>29484</v>
      </c>
      <c r="E34" s="191"/>
      <c r="F34" s="191"/>
      <c r="G34" s="191">
        <v>10684</v>
      </c>
      <c r="H34" s="191">
        <v>1800</v>
      </c>
      <c r="I34" s="191">
        <v>17000</v>
      </c>
      <c r="J34" s="191">
        <f t="shared" ref="J34:J47" si="39">AK34-AL34</f>
        <v>205081.36233333332</v>
      </c>
      <c r="K34" s="191">
        <f>96976+1569-AN34</f>
        <v>94007.5</v>
      </c>
      <c r="L34" s="191"/>
      <c r="M34" s="191">
        <f t="shared" ref="M34:M47" si="40">N34+U34</f>
        <v>0</v>
      </c>
      <c r="N34" s="191">
        <f>+Q34+R34+S34+T34</f>
        <v>0</v>
      </c>
      <c r="O34" s="191"/>
      <c r="P34" s="191"/>
      <c r="Q34" s="191"/>
      <c r="R34" s="191"/>
      <c r="S34" s="191"/>
      <c r="T34" s="191"/>
      <c r="U34" s="191"/>
      <c r="V34" s="191"/>
      <c r="W34" s="191"/>
      <c r="X34" s="201">
        <f t="shared" ref="X34:X47" si="41">M34/C34</f>
        <v>0</v>
      </c>
      <c r="Y34" s="201">
        <f t="shared" si="27"/>
        <v>0</v>
      </c>
      <c r="Z34" s="201"/>
      <c r="AA34" s="201"/>
      <c r="AB34" s="201">
        <f t="shared" si="28"/>
        <v>0</v>
      </c>
      <c r="AC34" s="201">
        <f t="shared" si="29"/>
        <v>0</v>
      </c>
      <c r="AD34" s="201">
        <f t="shared" si="30"/>
        <v>0</v>
      </c>
      <c r="AE34" s="201">
        <f t="shared" si="31"/>
        <v>0</v>
      </c>
      <c r="AF34" s="201">
        <f t="shared" si="32"/>
        <v>0</v>
      </c>
      <c r="AG34" s="201"/>
      <c r="AK34" s="194">
        <v>210733</v>
      </c>
      <c r="AL34" s="196">
        <f t="shared" ref="AL34:AL47" si="42">SUM(AM34:AO34)</f>
        <v>5651.6376666666665</v>
      </c>
      <c r="AM34" s="196">
        <v>192.471</v>
      </c>
      <c r="AN34" s="196">
        <f>5445/12*10</f>
        <v>4537.5</v>
      </c>
      <c r="AO34" s="196">
        <f>1106/12*10</f>
        <v>921.66666666666674</v>
      </c>
      <c r="AP34" s="194">
        <f t="shared" ref="AP34:AP47" si="43">AM34/4*12+(AN34+AO34)/10*12</f>
        <v>7128.4130000000005</v>
      </c>
      <c r="AQ34" s="196">
        <f t="shared" ref="AQ34:AQ47" si="44">ROUND(AP34,0)</f>
        <v>7128</v>
      </c>
      <c r="AT34" s="193">
        <f t="shared" si="34"/>
        <v>577.41300000000001</v>
      </c>
      <c r="AU34" s="193">
        <f t="shared" si="35"/>
        <v>5445</v>
      </c>
      <c r="AV34" s="193">
        <f t="shared" si="36"/>
        <v>1106</v>
      </c>
    </row>
    <row r="35" spans="1:48" s="237" customFormat="1" ht="15.75">
      <c r="A35" s="230">
        <v>3</v>
      </c>
      <c r="B35" s="231" t="s">
        <v>918</v>
      </c>
      <c r="C35" s="235">
        <f t="shared" si="37"/>
        <v>410213.44500000001</v>
      </c>
      <c r="D35" s="235">
        <f t="shared" si="38"/>
        <v>65023</v>
      </c>
      <c r="E35" s="235"/>
      <c r="F35" s="235"/>
      <c r="G35" s="235">
        <v>27623</v>
      </c>
      <c r="H35" s="235">
        <v>5400</v>
      </c>
      <c r="I35" s="235">
        <v>32000</v>
      </c>
      <c r="J35" s="235">
        <f t="shared" si="39"/>
        <v>345190.44500000001</v>
      </c>
      <c r="K35" s="235">
        <f>182740+4066-AN35</f>
        <v>186806</v>
      </c>
      <c r="L35" s="235"/>
      <c r="M35" s="235">
        <f t="shared" si="40"/>
        <v>485865</v>
      </c>
      <c r="N35" s="235">
        <f>+Q35+R35+S35+T35</f>
        <v>82045</v>
      </c>
      <c r="O35" s="235"/>
      <c r="P35" s="235"/>
      <c r="Q35" s="235">
        <v>27623</v>
      </c>
      <c r="R35" s="235">
        <v>5400</v>
      </c>
      <c r="S35" s="235">
        <v>32000</v>
      </c>
      <c r="T35" s="235">
        <f>14800+2222</f>
        <v>17022</v>
      </c>
      <c r="U35" s="235">
        <v>403820</v>
      </c>
      <c r="V35" s="235">
        <v>187724</v>
      </c>
      <c r="W35" s="235"/>
      <c r="X35" s="236">
        <f t="shared" si="41"/>
        <v>1.1844199792135044</v>
      </c>
      <c r="Y35" s="236">
        <f t="shared" si="27"/>
        <v>1.2617842917121633</v>
      </c>
      <c r="Z35" s="236"/>
      <c r="AA35" s="236"/>
      <c r="AB35" s="236">
        <f t="shared" si="28"/>
        <v>1</v>
      </c>
      <c r="AC35" s="236">
        <f t="shared" si="29"/>
        <v>1</v>
      </c>
      <c r="AD35" s="236">
        <f t="shared" si="30"/>
        <v>1</v>
      </c>
      <c r="AE35" s="236">
        <f t="shared" si="31"/>
        <v>1.1698469811352976</v>
      </c>
      <c r="AF35" s="236">
        <f t="shared" si="32"/>
        <v>1.0049141890517435</v>
      </c>
      <c r="AG35" s="236"/>
      <c r="AI35" s="237">
        <v>14800</v>
      </c>
      <c r="AK35" s="238">
        <v>345497</v>
      </c>
      <c r="AL35" s="239">
        <f t="shared" si="42"/>
        <v>306.55500000000001</v>
      </c>
      <c r="AM35" s="239">
        <v>306.55500000000001</v>
      </c>
      <c r="AN35" s="239"/>
      <c r="AO35" s="239"/>
      <c r="AP35" s="238">
        <f t="shared" si="43"/>
        <v>919.66499999999996</v>
      </c>
      <c r="AQ35" s="239">
        <f t="shared" si="44"/>
        <v>920</v>
      </c>
      <c r="AT35" s="240">
        <f t="shared" si="34"/>
        <v>919.66499999999996</v>
      </c>
      <c r="AU35" s="240">
        <f t="shared" si="35"/>
        <v>0</v>
      </c>
      <c r="AV35" s="240">
        <f t="shared" si="36"/>
        <v>0</v>
      </c>
    </row>
    <row r="36" spans="1:48" ht="15.75">
      <c r="A36" s="83">
        <v>4</v>
      </c>
      <c r="B36" s="60" t="s">
        <v>919</v>
      </c>
      <c r="C36" s="191">
        <f t="shared" si="37"/>
        <v>294655.40700000001</v>
      </c>
      <c r="D36" s="191">
        <f t="shared" si="38"/>
        <v>30895</v>
      </c>
      <c r="E36" s="191"/>
      <c r="F36" s="191"/>
      <c r="G36" s="191">
        <v>12005</v>
      </c>
      <c r="H36" s="191">
        <v>9390</v>
      </c>
      <c r="I36" s="191">
        <v>9500</v>
      </c>
      <c r="J36" s="191">
        <f t="shared" si="39"/>
        <v>263760.40700000001</v>
      </c>
      <c r="K36" s="191">
        <f>131735+2443-AN36</f>
        <v>134178</v>
      </c>
      <c r="L36" s="191"/>
      <c r="M36" s="191">
        <f t="shared" si="40"/>
        <v>0</v>
      </c>
      <c r="N36" s="191">
        <f>+Q36+R36+S36+T36</f>
        <v>0</v>
      </c>
      <c r="O36" s="191"/>
      <c r="P36" s="191"/>
      <c r="Q36" s="191"/>
      <c r="R36" s="191"/>
      <c r="S36" s="191"/>
      <c r="T36" s="191"/>
      <c r="U36" s="191"/>
      <c r="V36" s="191"/>
      <c r="W36" s="191"/>
      <c r="X36" s="201">
        <f t="shared" si="41"/>
        <v>0</v>
      </c>
      <c r="Y36" s="201">
        <f t="shared" si="27"/>
        <v>0</v>
      </c>
      <c r="Z36" s="201"/>
      <c r="AA36" s="201"/>
      <c r="AB36" s="201">
        <f t="shared" si="28"/>
        <v>0</v>
      </c>
      <c r="AC36" s="201">
        <f t="shared" si="29"/>
        <v>0</v>
      </c>
      <c r="AD36" s="201">
        <f t="shared" si="30"/>
        <v>0</v>
      </c>
      <c r="AE36" s="201">
        <f t="shared" si="31"/>
        <v>0</v>
      </c>
      <c r="AF36" s="201">
        <f t="shared" si="32"/>
        <v>0</v>
      </c>
      <c r="AG36" s="201"/>
      <c r="AK36" s="194">
        <v>264121</v>
      </c>
      <c r="AL36" s="196">
        <f t="shared" si="42"/>
        <v>360.59300000000002</v>
      </c>
      <c r="AM36" s="196">
        <v>360.59300000000002</v>
      </c>
      <c r="AP36" s="194">
        <f t="shared" si="43"/>
        <v>1081.779</v>
      </c>
      <c r="AQ36" s="196">
        <f t="shared" si="44"/>
        <v>1082</v>
      </c>
      <c r="AT36" s="193">
        <f t="shared" si="34"/>
        <v>1081.779</v>
      </c>
      <c r="AU36" s="193">
        <f t="shared" si="35"/>
        <v>0</v>
      </c>
      <c r="AV36" s="193">
        <f t="shared" si="36"/>
        <v>0</v>
      </c>
    </row>
    <row r="37" spans="1:48" ht="15.75">
      <c r="A37" s="83">
        <v>5</v>
      </c>
      <c r="B37" s="60" t="s">
        <v>920</v>
      </c>
      <c r="C37" s="191">
        <f t="shared" si="37"/>
        <v>232019.576</v>
      </c>
      <c r="D37" s="191">
        <f t="shared" si="38"/>
        <v>18901</v>
      </c>
      <c r="E37" s="191"/>
      <c r="F37" s="191"/>
      <c r="G37" s="191">
        <v>8741</v>
      </c>
      <c r="H37" s="191">
        <v>7160</v>
      </c>
      <c r="I37" s="191">
        <v>3000</v>
      </c>
      <c r="J37" s="191">
        <f t="shared" si="39"/>
        <v>213118.576</v>
      </c>
      <c r="K37" s="191">
        <f>110874+1978-AN37</f>
        <v>112852</v>
      </c>
      <c r="L37" s="191"/>
      <c r="M37" s="191">
        <f t="shared" si="40"/>
        <v>0</v>
      </c>
      <c r="N37" s="191">
        <f t="shared" ref="N37:N47" si="45">+Q37+R37+S37+T37</f>
        <v>0</v>
      </c>
      <c r="O37" s="191"/>
      <c r="P37" s="191"/>
      <c r="Q37" s="191"/>
      <c r="R37" s="191"/>
      <c r="S37" s="191"/>
      <c r="T37" s="191"/>
      <c r="U37" s="191"/>
      <c r="V37" s="191"/>
      <c r="W37" s="191"/>
      <c r="X37" s="201">
        <f t="shared" si="41"/>
        <v>0</v>
      </c>
      <c r="Y37" s="201">
        <f t="shared" si="27"/>
        <v>0</v>
      </c>
      <c r="Z37" s="201"/>
      <c r="AA37" s="201"/>
      <c r="AB37" s="201">
        <f t="shared" si="28"/>
        <v>0</v>
      </c>
      <c r="AC37" s="201">
        <f t="shared" si="29"/>
        <v>0</v>
      </c>
      <c r="AD37" s="201">
        <f t="shared" si="30"/>
        <v>0</v>
      </c>
      <c r="AE37" s="201">
        <f t="shared" si="31"/>
        <v>0</v>
      </c>
      <c r="AF37" s="201">
        <f t="shared" si="32"/>
        <v>0</v>
      </c>
      <c r="AG37" s="201"/>
      <c r="AK37" s="194">
        <v>213451</v>
      </c>
      <c r="AL37" s="196">
        <f t="shared" si="42"/>
        <v>332.42399999999998</v>
      </c>
      <c r="AM37" s="196">
        <v>332.42399999999998</v>
      </c>
      <c r="AP37" s="194">
        <f t="shared" si="43"/>
        <v>997.27199999999993</v>
      </c>
      <c r="AQ37" s="196">
        <f t="shared" si="44"/>
        <v>997</v>
      </c>
      <c r="AT37" s="193">
        <f t="shared" si="34"/>
        <v>997.27199999999993</v>
      </c>
      <c r="AU37" s="193">
        <f t="shared" si="35"/>
        <v>0</v>
      </c>
      <c r="AV37" s="193">
        <f t="shared" si="36"/>
        <v>0</v>
      </c>
    </row>
    <row r="38" spans="1:48" ht="15.75">
      <c r="A38" s="83">
        <v>6</v>
      </c>
      <c r="B38" s="60" t="s">
        <v>921</v>
      </c>
      <c r="C38" s="191">
        <f t="shared" si="37"/>
        <v>313903.27799999999</v>
      </c>
      <c r="D38" s="191">
        <f t="shared" si="38"/>
        <v>21766</v>
      </c>
      <c r="E38" s="191"/>
      <c r="F38" s="191"/>
      <c r="G38" s="191">
        <v>10606</v>
      </c>
      <c r="H38" s="191">
        <v>6160</v>
      </c>
      <c r="I38" s="191">
        <v>5000</v>
      </c>
      <c r="J38" s="191">
        <f t="shared" si="39"/>
        <v>292137.27799999999</v>
      </c>
      <c r="K38" s="191">
        <f>162683+2660-AN38</f>
        <v>165343</v>
      </c>
      <c r="L38" s="191"/>
      <c r="M38" s="191">
        <f t="shared" si="40"/>
        <v>0</v>
      </c>
      <c r="N38" s="191">
        <f t="shared" si="45"/>
        <v>0</v>
      </c>
      <c r="O38" s="191"/>
      <c r="P38" s="191"/>
      <c r="Q38" s="191"/>
      <c r="R38" s="191"/>
      <c r="S38" s="191"/>
      <c r="T38" s="191"/>
      <c r="U38" s="191"/>
      <c r="V38" s="191"/>
      <c r="W38" s="191"/>
      <c r="X38" s="201">
        <f t="shared" si="41"/>
        <v>0</v>
      </c>
      <c r="Y38" s="201">
        <f t="shared" si="27"/>
        <v>0</v>
      </c>
      <c r="Z38" s="201"/>
      <c r="AA38" s="201"/>
      <c r="AB38" s="201">
        <f t="shared" si="28"/>
        <v>0</v>
      </c>
      <c r="AC38" s="201">
        <f t="shared" si="29"/>
        <v>0</v>
      </c>
      <c r="AD38" s="201">
        <f t="shared" si="30"/>
        <v>0</v>
      </c>
      <c r="AE38" s="201">
        <f t="shared" si="31"/>
        <v>0</v>
      </c>
      <c r="AF38" s="201">
        <f t="shared" si="32"/>
        <v>0</v>
      </c>
      <c r="AG38" s="201"/>
      <c r="AK38" s="194">
        <v>292397</v>
      </c>
      <c r="AL38" s="196">
        <f t="shared" si="42"/>
        <v>259.72199999999998</v>
      </c>
      <c r="AM38" s="196">
        <v>259.72199999999998</v>
      </c>
      <c r="AP38" s="194">
        <f t="shared" si="43"/>
        <v>779.16599999999994</v>
      </c>
      <c r="AQ38" s="196">
        <f t="shared" si="44"/>
        <v>779</v>
      </c>
      <c r="AT38" s="193">
        <f t="shared" si="34"/>
        <v>779.16599999999994</v>
      </c>
      <c r="AU38" s="193">
        <f t="shared" si="35"/>
        <v>0</v>
      </c>
      <c r="AV38" s="193">
        <f t="shared" si="36"/>
        <v>0</v>
      </c>
    </row>
    <row r="39" spans="1:48" ht="15.75">
      <c r="A39" s="83">
        <v>7</v>
      </c>
      <c r="B39" s="60" t="s">
        <v>922</v>
      </c>
      <c r="C39" s="191">
        <f t="shared" si="37"/>
        <v>601857.38599999994</v>
      </c>
      <c r="D39" s="191">
        <f t="shared" si="38"/>
        <v>100749</v>
      </c>
      <c r="E39" s="191"/>
      <c r="F39" s="191"/>
      <c r="G39" s="191">
        <v>31819</v>
      </c>
      <c r="H39" s="191">
        <v>7930</v>
      </c>
      <c r="I39" s="191">
        <v>61000</v>
      </c>
      <c r="J39" s="191">
        <f t="shared" si="39"/>
        <v>501108.386</v>
      </c>
      <c r="K39" s="191">
        <f>271648+5917-AN39</f>
        <v>277565</v>
      </c>
      <c r="L39" s="191"/>
      <c r="M39" s="191">
        <f t="shared" si="40"/>
        <v>0</v>
      </c>
      <c r="N39" s="191">
        <f t="shared" si="45"/>
        <v>0</v>
      </c>
      <c r="O39" s="191"/>
      <c r="P39" s="191"/>
      <c r="Q39" s="191"/>
      <c r="R39" s="191"/>
      <c r="S39" s="191"/>
      <c r="T39" s="191"/>
      <c r="U39" s="191"/>
      <c r="V39" s="191"/>
      <c r="W39" s="191"/>
      <c r="X39" s="201">
        <f t="shared" si="41"/>
        <v>0</v>
      </c>
      <c r="Y39" s="201">
        <f t="shared" si="27"/>
        <v>0</v>
      </c>
      <c r="Z39" s="201"/>
      <c r="AA39" s="201"/>
      <c r="AB39" s="201">
        <f t="shared" si="28"/>
        <v>0</v>
      </c>
      <c r="AC39" s="201">
        <f t="shared" si="29"/>
        <v>0</v>
      </c>
      <c r="AD39" s="201">
        <f t="shared" si="30"/>
        <v>0</v>
      </c>
      <c r="AE39" s="201">
        <f t="shared" si="31"/>
        <v>0</v>
      </c>
      <c r="AF39" s="201">
        <f t="shared" si="32"/>
        <v>0</v>
      </c>
      <c r="AG39" s="201"/>
      <c r="AK39" s="194">
        <v>501483</v>
      </c>
      <c r="AL39" s="196">
        <f t="shared" si="42"/>
        <v>374.61399999999998</v>
      </c>
      <c r="AM39" s="196">
        <v>374.61399999999998</v>
      </c>
      <c r="AP39" s="194">
        <f t="shared" si="43"/>
        <v>1123.8419999999999</v>
      </c>
      <c r="AQ39" s="196">
        <f t="shared" si="44"/>
        <v>1124</v>
      </c>
      <c r="AT39" s="193">
        <f t="shared" si="34"/>
        <v>1123.8419999999999</v>
      </c>
      <c r="AU39" s="193">
        <f t="shared" si="35"/>
        <v>0</v>
      </c>
      <c r="AV39" s="193">
        <f t="shared" si="36"/>
        <v>0</v>
      </c>
    </row>
    <row r="40" spans="1:48" ht="15.75">
      <c r="A40" s="83">
        <v>8</v>
      </c>
      <c r="B40" s="60" t="s">
        <v>923</v>
      </c>
      <c r="C40" s="191">
        <f t="shared" si="37"/>
        <v>276950.36933333334</v>
      </c>
      <c r="D40" s="191">
        <f t="shared" si="38"/>
        <v>30610</v>
      </c>
      <c r="E40" s="191"/>
      <c r="F40" s="191"/>
      <c r="G40" s="191">
        <v>16020</v>
      </c>
      <c r="H40" s="191">
        <v>9590</v>
      </c>
      <c r="I40" s="191">
        <v>5000</v>
      </c>
      <c r="J40" s="191">
        <f t="shared" si="39"/>
        <v>246340.36933333334</v>
      </c>
      <c r="K40" s="191">
        <f>119141+2198-AN40</f>
        <v>115039</v>
      </c>
      <c r="L40" s="191"/>
      <c r="M40" s="191">
        <f t="shared" si="40"/>
        <v>0</v>
      </c>
      <c r="N40" s="191">
        <f t="shared" si="45"/>
        <v>0</v>
      </c>
      <c r="O40" s="191"/>
      <c r="P40" s="191"/>
      <c r="Q40" s="191"/>
      <c r="R40" s="191"/>
      <c r="S40" s="191"/>
      <c r="T40" s="191"/>
      <c r="U40" s="191"/>
      <c r="V40" s="191"/>
      <c r="W40" s="191"/>
      <c r="X40" s="201">
        <f t="shared" si="41"/>
        <v>0</v>
      </c>
      <c r="Y40" s="201">
        <f t="shared" si="27"/>
        <v>0</v>
      </c>
      <c r="Z40" s="201"/>
      <c r="AA40" s="201"/>
      <c r="AB40" s="201">
        <f t="shared" si="28"/>
        <v>0</v>
      </c>
      <c r="AC40" s="201">
        <f t="shared" si="29"/>
        <v>0</v>
      </c>
      <c r="AD40" s="201">
        <f t="shared" si="30"/>
        <v>0</v>
      </c>
      <c r="AE40" s="201">
        <f t="shared" si="31"/>
        <v>0</v>
      </c>
      <c r="AF40" s="201">
        <f t="shared" si="32"/>
        <v>0</v>
      </c>
      <c r="AG40" s="201"/>
      <c r="AK40" s="194">
        <v>255960</v>
      </c>
      <c r="AL40" s="196">
        <f t="shared" si="42"/>
        <v>9619.630666666666</v>
      </c>
      <c r="AM40" s="196">
        <v>200.464</v>
      </c>
      <c r="AN40" s="196">
        <f>7560/12*10</f>
        <v>6300</v>
      </c>
      <c r="AO40" s="196">
        <f>3743*10/12</f>
        <v>3119.1666666666665</v>
      </c>
      <c r="AP40" s="194">
        <f t="shared" si="43"/>
        <v>11904.392</v>
      </c>
      <c r="AQ40" s="196">
        <f t="shared" si="44"/>
        <v>11904</v>
      </c>
      <c r="AT40" s="193">
        <f t="shared" si="34"/>
        <v>601.39200000000005</v>
      </c>
      <c r="AU40" s="193">
        <f t="shared" si="35"/>
        <v>7560</v>
      </c>
      <c r="AV40" s="193">
        <f t="shared" si="36"/>
        <v>3742.9999999999995</v>
      </c>
    </row>
    <row r="41" spans="1:48" ht="15.75">
      <c r="A41" s="83">
        <v>9</v>
      </c>
      <c r="B41" s="60" t="s">
        <v>924</v>
      </c>
      <c r="C41" s="191">
        <f t="shared" si="37"/>
        <v>437574.68699999998</v>
      </c>
      <c r="D41" s="191">
        <f t="shared" si="38"/>
        <v>47662</v>
      </c>
      <c r="E41" s="191"/>
      <c r="F41" s="191"/>
      <c r="G41" s="191">
        <v>18532</v>
      </c>
      <c r="H41" s="191">
        <v>7130</v>
      </c>
      <c r="I41" s="191">
        <v>22000</v>
      </c>
      <c r="J41" s="191">
        <f t="shared" si="39"/>
        <v>389912.68699999998</v>
      </c>
      <c r="K41" s="191">
        <f>199883+4619-AN41</f>
        <v>204502</v>
      </c>
      <c r="L41" s="191"/>
      <c r="M41" s="191">
        <f t="shared" si="40"/>
        <v>490844</v>
      </c>
      <c r="N41" s="191">
        <f t="shared" si="45"/>
        <v>68473</v>
      </c>
      <c r="O41" s="191"/>
      <c r="P41" s="191"/>
      <c r="Q41" s="191">
        <v>18532</v>
      </c>
      <c r="R41" s="191"/>
      <c r="S41" s="191">
        <v>27000</v>
      </c>
      <c r="T41" s="191">
        <v>22941</v>
      </c>
      <c r="U41" s="191">
        <v>422371</v>
      </c>
      <c r="V41" s="191">
        <v>208114</v>
      </c>
      <c r="W41" s="191"/>
      <c r="X41" s="201">
        <f t="shared" si="41"/>
        <v>1.1217376474978773</v>
      </c>
      <c r="Y41" s="201">
        <f t="shared" si="27"/>
        <v>1.4366371532877344</v>
      </c>
      <c r="Z41" s="201"/>
      <c r="AA41" s="201"/>
      <c r="AB41" s="201">
        <f t="shared" si="28"/>
        <v>1</v>
      </c>
      <c r="AC41" s="201">
        <f t="shared" si="29"/>
        <v>0</v>
      </c>
      <c r="AD41" s="201">
        <f t="shared" si="30"/>
        <v>1.2272727272727273</v>
      </c>
      <c r="AE41" s="201">
        <f t="shared" si="31"/>
        <v>1.0832450804556664</v>
      </c>
      <c r="AF41" s="201">
        <f t="shared" si="32"/>
        <v>1.0176624189494479</v>
      </c>
      <c r="AG41" s="201"/>
      <c r="AK41" s="194">
        <v>390197</v>
      </c>
      <c r="AL41" s="196">
        <f t="shared" si="42"/>
        <v>284.31299999999999</v>
      </c>
      <c r="AM41" s="196">
        <v>284.31299999999999</v>
      </c>
      <c r="AP41" s="194">
        <f t="shared" si="43"/>
        <v>852.93899999999996</v>
      </c>
      <c r="AQ41" s="196">
        <f t="shared" si="44"/>
        <v>853</v>
      </c>
      <c r="AT41" s="193">
        <f t="shared" si="34"/>
        <v>852.93899999999996</v>
      </c>
      <c r="AU41" s="193">
        <f t="shared" si="35"/>
        <v>0</v>
      </c>
      <c r="AV41" s="193">
        <f t="shared" si="36"/>
        <v>0</v>
      </c>
    </row>
    <row r="42" spans="1:48" ht="15.75">
      <c r="A42" s="83">
        <v>10</v>
      </c>
      <c r="B42" s="60" t="s">
        <v>925</v>
      </c>
      <c r="C42" s="191">
        <f t="shared" si="37"/>
        <v>412364.25400000002</v>
      </c>
      <c r="D42" s="191">
        <f t="shared" si="38"/>
        <v>44563</v>
      </c>
      <c r="E42" s="191"/>
      <c r="F42" s="191"/>
      <c r="G42" s="191">
        <v>17133</v>
      </c>
      <c r="H42" s="191">
        <v>7430</v>
      </c>
      <c r="I42" s="191">
        <v>20000</v>
      </c>
      <c r="J42" s="191">
        <f t="shared" si="39"/>
        <v>367801.25400000002</v>
      </c>
      <c r="K42" s="191">
        <f>194092+4634-AN42</f>
        <v>198726</v>
      </c>
      <c r="L42" s="191"/>
      <c r="M42" s="191">
        <f t="shared" si="40"/>
        <v>503635</v>
      </c>
      <c r="N42" s="191">
        <f t="shared" si="45"/>
        <v>96712</v>
      </c>
      <c r="O42" s="191"/>
      <c r="P42" s="191"/>
      <c r="Q42" s="191">
        <v>17133</v>
      </c>
      <c r="R42" s="191"/>
      <c r="S42" s="191">
        <v>20000</v>
      </c>
      <c r="T42" s="191">
        <f>96712-S42-R42-Q42</f>
        <v>59579</v>
      </c>
      <c r="U42" s="191">
        <v>406923</v>
      </c>
      <c r="V42" s="191">
        <v>223000</v>
      </c>
      <c r="W42" s="191"/>
      <c r="X42" s="201">
        <f t="shared" si="41"/>
        <v>1.221335251818408</v>
      </c>
      <c r="Y42" s="201">
        <f t="shared" si="27"/>
        <v>2.1702309090501086</v>
      </c>
      <c r="Z42" s="201"/>
      <c r="AA42" s="201"/>
      <c r="AB42" s="201">
        <f t="shared" si="28"/>
        <v>1</v>
      </c>
      <c r="AC42" s="201">
        <f t="shared" si="29"/>
        <v>0</v>
      </c>
      <c r="AD42" s="201">
        <f t="shared" si="30"/>
        <v>1</v>
      </c>
      <c r="AE42" s="201">
        <f t="shared" si="31"/>
        <v>1.1063665378367633</v>
      </c>
      <c r="AF42" s="201">
        <f t="shared" si="32"/>
        <v>1.1221480832905608</v>
      </c>
      <c r="AG42" s="201"/>
      <c r="AK42" s="194">
        <v>368088</v>
      </c>
      <c r="AL42" s="196">
        <f t="shared" si="42"/>
        <v>286.74599999999998</v>
      </c>
      <c r="AM42" s="196">
        <v>286.74599999999998</v>
      </c>
      <c r="AP42" s="194">
        <f t="shared" si="43"/>
        <v>860.23799999999994</v>
      </c>
      <c r="AQ42" s="196">
        <f t="shared" si="44"/>
        <v>860</v>
      </c>
      <c r="AT42" s="193">
        <f t="shared" si="34"/>
        <v>860.23799999999994</v>
      </c>
      <c r="AU42" s="193">
        <f t="shared" si="35"/>
        <v>0</v>
      </c>
      <c r="AV42" s="193">
        <f t="shared" si="36"/>
        <v>0</v>
      </c>
    </row>
    <row r="43" spans="1:48" ht="15.75">
      <c r="A43" s="83">
        <v>11</v>
      </c>
      <c r="B43" s="60" t="s">
        <v>926</v>
      </c>
      <c r="C43" s="191">
        <f t="shared" si="37"/>
        <v>258646.69133333332</v>
      </c>
      <c r="D43" s="191">
        <f t="shared" si="38"/>
        <v>28099</v>
      </c>
      <c r="E43" s="191"/>
      <c r="F43" s="191"/>
      <c r="G43" s="191">
        <v>12329</v>
      </c>
      <c r="H43" s="191">
        <v>7770</v>
      </c>
      <c r="I43" s="191">
        <v>8000</v>
      </c>
      <c r="J43" s="191">
        <f t="shared" si="39"/>
        <v>230547.69133333332</v>
      </c>
      <c r="K43" s="191">
        <f>109163+1995-AN43</f>
        <v>108012.16666666667</v>
      </c>
      <c r="L43" s="191"/>
      <c r="M43" s="191">
        <f t="shared" si="40"/>
        <v>20329</v>
      </c>
      <c r="N43" s="191">
        <f t="shared" si="45"/>
        <v>20329</v>
      </c>
      <c r="O43" s="191"/>
      <c r="P43" s="191"/>
      <c r="Q43" s="191">
        <v>12329</v>
      </c>
      <c r="R43" s="191"/>
      <c r="S43" s="191">
        <v>8000</v>
      </c>
      <c r="T43" s="191"/>
      <c r="U43" s="191"/>
      <c r="V43" s="191"/>
      <c r="W43" s="191"/>
      <c r="X43" s="201">
        <f t="shared" si="41"/>
        <v>7.8597564481506593E-2</v>
      </c>
      <c r="Y43" s="201">
        <f t="shared" si="27"/>
        <v>0.72347770383287657</v>
      </c>
      <c r="Z43" s="201"/>
      <c r="AA43" s="201"/>
      <c r="AB43" s="201">
        <f t="shared" si="28"/>
        <v>1</v>
      </c>
      <c r="AC43" s="201">
        <f t="shared" si="29"/>
        <v>0</v>
      </c>
      <c r="AD43" s="201">
        <f t="shared" si="30"/>
        <v>1</v>
      </c>
      <c r="AE43" s="201">
        <f t="shared" si="31"/>
        <v>0</v>
      </c>
      <c r="AF43" s="201">
        <f t="shared" si="32"/>
        <v>0</v>
      </c>
      <c r="AG43" s="201"/>
      <c r="AK43" s="194">
        <v>234190</v>
      </c>
      <c r="AL43" s="196">
        <f t="shared" si="42"/>
        <v>3642.3086666666663</v>
      </c>
      <c r="AM43" s="196">
        <v>492.017</v>
      </c>
      <c r="AN43" s="196">
        <f>3775/12*10</f>
        <v>3145.833333333333</v>
      </c>
      <c r="AO43" s="196">
        <f>535/12/10</f>
        <v>4.4583333333333339</v>
      </c>
      <c r="AP43" s="194">
        <f t="shared" si="43"/>
        <v>5256.4009999999998</v>
      </c>
      <c r="AQ43" s="196">
        <f t="shared" si="44"/>
        <v>5256</v>
      </c>
      <c r="AS43">
        <f>+AN43/10*12</f>
        <v>3775</v>
      </c>
      <c r="AT43" s="193">
        <f t="shared" si="34"/>
        <v>1476.0509999999999</v>
      </c>
      <c r="AU43" s="193">
        <f t="shared" si="35"/>
        <v>3775</v>
      </c>
      <c r="AV43" s="193">
        <f t="shared" si="36"/>
        <v>5.3500000000000014</v>
      </c>
    </row>
    <row r="44" spans="1:48" ht="15.75">
      <c r="A44" s="83">
        <v>12</v>
      </c>
      <c r="B44" s="60" t="s">
        <v>927</v>
      </c>
      <c r="C44" s="191">
        <f t="shared" si="37"/>
        <v>291741.59000000003</v>
      </c>
      <c r="D44" s="191">
        <f t="shared" si="38"/>
        <v>25365</v>
      </c>
      <c r="E44" s="191"/>
      <c r="F44" s="191"/>
      <c r="G44" s="191">
        <v>12005</v>
      </c>
      <c r="H44" s="191">
        <v>7860</v>
      </c>
      <c r="I44" s="191">
        <v>5500</v>
      </c>
      <c r="J44" s="191">
        <f t="shared" si="39"/>
        <v>266376.59000000003</v>
      </c>
      <c r="K44" s="191">
        <f>121958+2585-AN44</f>
        <v>124543</v>
      </c>
      <c r="L44" s="191"/>
      <c r="M44" s="191">
        <f t="shared" si="40"/>
        <v>0</v>
      </c>
      <c r="N44" s="191">
        <f t="shared" si="45"/>
        <v>0</v>
      </c>
      <c r="O44" s="191"/>
      <c r="P44" s="191"/>
      <c r="Q44" s="191"/>
      <c r="R44" s="191"/>
      <c r="S44" s="191"/>
      <c r="T44" s="191"/>
      <c r="U44" s="191"/>
      <c r="V44" s="191"/>
      <c r="W44" s="191"/>
      <c r="X44" s="201">
        <f t="shared" si="41"/>
        <v>0</v>
      </c>
      <c r="Y44" s="201">
        <f t="shared" si="27"/>
        <v>0</v>
      </c>
      <c r="Z44" s="201"/>
      <c r="AA44" s="201"/>
      <c r="AB44" s="201">
        <f t="shared" si="28"/>
        <v>0</v>
      </c>
      <c r="AC44" s="201">
        <f t="shared" si="29"/>
        <v>0</v>
      </c>
      <c r="AD44" s="201">
        <f t="shared" si="30"/>
        <v>0</v>
      </c>
      <c r="AE44" s="201">
        <f t="shared" si="31"/>
        <v>0</v>
      </c>
      <c r="AF44" s="201">
        <f t="shared" si="32"/>
        <v>0</v>
      </c>
      <c r="AG44" s="201"/>
      <c r="AK44" s="194">
        <v>266927</v>
      </c>
      <c r="AL44" s="196">
        <f t="shared" si="42"/>
        <v>550.41</v>
      </c>
      <c r="AM44" s="196">
        <v>550.41</v>
      </c>
      <c r="AP44" s="194">
        <f t="shared" si="43"/>
        <v>1651.23</v>
      </c>
      <c r="AQ44" s="196">
        <f t="shared" si="44"/>
        <v>1651</v>
      </c>
      <c r="AT44" s="193">
        <f t="shared" si="34"/>
        <v>1651.23</v>
      </c>
      <c r="AU44" s="193">
        <f t="shared" si="35"/>
        <v>0</v>
      </c>
      <c r="AV44" s="193">
        <f t="shared" si="36"/>
        <v>0</v>
      </c>
    </row>
    <row r="45" spans="1:48" ht="15.75">
      <c r="A45" s="83">
        <v>13</v>
      </c>
      <c r="B45" s="60" t="s">
        <v>928</v>
      </c>
      <c r="C45" s="191">
        <f t="shared" si="37"/>
        <v>162395.125</v>
      </c>
      <c r="D45" s="191">
        <f t="shared" si="38"/>
        <v>21971</v>
      </c>
      <c r="E45" s="191"/>
      <c r="F45" s="191"/>
      <c r="G45" s="191">
        <v>9881</v>
      </c>
      <c r="H45" s="191">
        <v>8090</v>
      </c>
      <c r="I45" s="191">
        <v>4000</v>
      </c>
      <c r="J45" s="191">
        <f t="shared" si="39"/>
        <v>140424.125</v>
      </c>
      <c r="K45" s="191">
        <f>48698+1151-AN45</f>
        <v>47939</v>
      </c>
      <c r="L45" s="191"/>
      <c r="M45" s="191">
        <f t="shared" si="40"/>
        <v>0</v>
      </c>
      <c r="N45" s="191">
        <f t="shared" si="45"/>
        <v>0</v>
      </c>
      <c r="O45" s="191"/>
      <c r="P45" s="191"/>
      <c r="Q45" s="191"/>
      <c r="R45" s="191"/>
      <c r="S45" s="191"/>
      <c r="T45" s="191"/>
      <c r="U45" s="191"/>
      <c r="V45" s="191"/>
      <c r="W45" s="191"/>
      <c r="X45" s="201">
        <f t="shared" si="41"/>
        <v>0</v>
      </c>
      <c r="Y45" s="201">
        <f t="shared" si="27"/>
        <v>0</v>
      </c>
      <c r="Z45" s="201"/>
      <c r="AA45" s="201"/>
      <c r="AB45" s="201">
        <f t="shared" si="28"/>
        <v>0</v>
      </c>
      <c r="AC45" s="201">
        <f t="shared" si="29"/>
        <v>0</v>
      </c>
      <c r="AD45" s="201">
        <f t="shared" si="30"/>
        <v>0</v>
      </c>
      <c r="AE45" s="201">
        <f t="shared" si="31"/>
        <v>0</v>
      </c>
      <c r="AF45" s="201">
        <f t="shared" si="32"/>
        <v>0</v>
      </c>
      <c r="AG45" s="201"/>
      <c r="AK45" s="194">
        <v>143008</v>
      </c>
      <c r="AL45" s="196">
        <f t="shared" si="42"/>
        <v>2583.875</v>
      </c>
      <c r="AM45" s="196">
        <v>233.875</v>
      </c>
      <c r="AN45" s="196">
        <f>191*10</f>
        <v>1910</v>
      </c>
      <c r="AO45" s="196">
        <f>44*10</f>
        <v>440</v>
      </c>
      <c r="AP45" s="194">
        <f t="shared" si="43"/>
        <v>3521.625</v>
      </c>
      <c r="AQ45" s="196">
        <f t="shared" si="44"/>
        <v>3522</v>
      </c>
      <c r="AT45" s="193">
        <f t="shared" si="34"/>
        <v>701.625</v>
      </c>
      <c r="AU45" s="193">
        <f t="shared" si="35"/>
        <v>2292</v>
      </c>
      <c r="AV45" s="193">
        <f t="shared" si="36"/>
        <v>528</v>
      </c>
    </row>
    <row r="46" spans="1:48" ht="15.75">
      <c r="A46" s="83">
        <v>14</v>
      </c>
      <c r="B46" s="60" t="s">
        <v>929</v>
      </c>
      <c r="C46" s="191">
        <f t="shared" si="37"/>
        <v>256895.05600000001</v>
      </c>
      <c r="D46" s="191">
        <f t="shared" si="38"/>
        <v>24286</v>
      </c>
      <c r="E46" s="191"/>
      <c r="F46" s="191"/>
      <c r="G46" s="191">
        <v>13456</v>
      </c>
      <c r="H46" s="191">
        <v>5330</v>
      </c>
      <c r="I46" s="191">
        <v>5500</v>
      </c>
      <c r="J46" s="191">
        <f t="shared" si="39"/>
        <v>232609.05600000001</v>
      </c>
      <c r="K46" s="191">
        <f>111806+1841-AN46</f>
        <v>102032</v>
      </c>
      <c r="L46" s="191"/>
      <c r="M46" s="191">
        <f t="shared" si="40"/>
        <v>267144</v>
      </c>
      <c r="N46" s="191">
        <f t="shared" si="45"/>
        <v>24856</v>
      </c>
      <c r="O46" s="191"/>
      <c r="P46" s="191"/>
      <c r="Q46" s="191">
        <v>13456</v>
      </c>
      <c r="R46" s="191"/>
      <c r="S46" s="191">
        <v>11300</v>
      </c>
      <c r="T46" s="191">
        <v>100</v>
      </c>
      <c r="U46" s="191">
        <v>242288</v>
      </c>
      <c r="V46" s="191">
        <f>106605+2041</f>
        <v>108646</v>
      </c>
      <c r="W46" s="191"/>
      <c r="X46" s="201">
        <f t="shared" si="41"/>
        <v>1.0398954505375921</v>
      </c>
      <c r="Y46" s="201">
        <f t="shared" si="27"/>
        <v>1.0234703121139752</v>
      </c>
      <c r="Z46" s="201"/>
      <c r="AA46" s="201"/>
      <c r="AB46" s="201">
        <f t="shared" si="28"/>
        <v>1</v>
      </c>
      <c r="AC46" s="201">
        <f t="shared" si="29"/>
        <v>0</v>
      </c>
      <c r="AD46" s="201">
        <f t="shared" si="30"/>
        <v>2.0545454545454547</v>
      </c>
      <c r="AE46" s="201">
        <f t="shared" si="31"/>
        <v>1.0416103489969022</v>
      </c>
      <c r="AF46" s="201">
        <f t="shared" si="32"/>
        <v>1.0648228006899796</v>
      </c>
      <c r="AG46" s="201"/>
      <c r="AK46" s="194">
        <v>247444</v>
      </c>
      <c r="AL46" s="196">
        <f t="shared" si="42"/>
        <v>14834.944</v>
      </c>
      <c r="AM46" s="196">
        <v>302.44400000000002</v>
      </c>
      <c r="AN46" s="196">
        <f>1161.5*10</f>
        <v>11615</v>
      </c>
      <c r="AO46" s="196">
        <f>291.75*10</f>
        <v>2917.5</v>
      </c>
      <c r="AP46" s="194">
        <f t="shared" si="43"/>
        <v>18346.331999999999</v>
      </c>
      <c r="AQ46" s="196">
        <f t="shared" si="44"/>
        <v>18346</v>
      </c>
      <c r="AT46" s="193">
        <f t="shared" si="34"/>
        <v>907.33200000000011</v>
      </c>
      <c r="AU46" s="193">
        <f t="shared" si="35"/>
        <v>13938</v>
      </c>
      <c r="AV46" s="193">
        <f t="shared" si="36"/>
        <v>3501</v>
      </c>
    </row>
    <row r="47" spans="1:48" ht="15.75">
      <c r="A47" s="83">
        <v>15</v>
      </c>
      <c r="B47" s="60" t="s">
        <v>930</v>
      </c>
      <c r="C47" s="191">
        <f t="shared" si="37"/>
        <v>249679.09433333334</v>
      </c>
      <c r="D47" s="191">
        <f t="shared" si="38"/>
        <v>26229</v>
      </c>
      <c r="E47" s="192"/>
      <c r="F47" s="192"/>
      <c r="G47" s="192">
        <v>12899</v>
      </c>
      <c r="H47" s="192">
        <v>6330</v>
      </c>
      <c r="I47" s="192">
        <v>7000</v>
      </c>
      <c r="J47" s="191">
        <f t="shared" si="39"/>
        <v>223450.09433333334</v>
      </c>
      <c r="K47" s="191">
        <f>86193+1780-AN47</f>
        <v>83126.333333333328</v>
      </c>
      <c r="L47" s="192"/>
      <c r="M47" s="191">
        <f t="shared" si="40"/>
        <v>0</v>
      </c>
      <c r="N47" s="191">
        <f t="shared" si="45"/>
        <v>0</v>
      </c>
      <c r="O47" s="192"/>
      <c r="P47" s="192"/>
      <c r="Q47" s="192"/>
      <c r="R47" s="192"/>
      <c r="S47" s="192"/>
      <c r="T47" s="192"/>
      <c r="U47" s="192"/>
      <c r="V47" s="192"/>
      <c r="W47" s="192"/>
      <c r="X47" s="201">
        <f t="shared" si="41"/>
        <v>0</v>
      </c>
      <c r="Y47" s="201">
        <f t="shared" si="27"/>
        <v>0</v>
      </c>
      <c r="Z47" s="201"/>
      <c r="AA47" s="201"/>
      <c r="AB47" s="201">
        <f t="shared" si="28"/>
        <v>0</v>
      </c>
      <c r="AC47" s="201">
        <f t="shared" si="29"/>
        <v>0</v>
      </c>
      <c r="AD47" s="201">
        <f t="shared" si="30"/>
        <v>0</v>
      </c>
      <c r="AE47" s="201">
        <f t="shared" si="31"/>
        <v>0</v>
      </c>
      <c r="AF47" s="201">
        <f t="shared" si="32"/>
        <v>0</v>
      </c>
      <c r="AG47" s="201"/>
      <c r="AK47" s="194">
        <v>229747</v>
      </c>
      <c r="AL47" s="196">
        <f t="shared" si="42"/>
        <v>6296.9056666666702</v>
      </c>
      <c r="AM47" s="196">
        <v>497.73899999999998</v>
      </c>
      <c r="AN47" s="196">
        <f>484.666666666667*10</f>
        <v>4846.6666666666706</v>
      </c>
      <c r="AO47" s="196">
        <f>95.25*10</f>
        <v>952.5</v>
      </c>
      <c r="AP47" s="194">
        <f t="shared" si="43"/>
        <v>8452.217000000006</v>
      </c>
      <c r="AQ47" s="196">
        <f t="shared" si="44"/>
        <v>8452</v>
      </c>
      <c r="AT47" s="193">
        <f t="shared" si="34"/>
        <v>1493.2169999999999</v>
      </c>
      <c r="AU47" s="193">
        <f t="shared" si="35"/>
        <v>5816.0000000000055</v>
      </c>
      <c r="AV47" s="193">
        <f t="shared" si="36"/>
        <v>1143</v>
      </c>
    </row>
    <row r="48" spans="1:48" ht="15.75">
      <c r="A48" s="81"/>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K48" s="194"/>
    </row>
  </sheetData>
  <customSheetViews>
    <customSheetView guid="{9F606621-8853-4836-9A7E-DBA5CF152671}" scale="75" showPageBreaks="1" topLeftCell="A4">
      <pane xSplit="2" ySplit="6" topLeftCell="C25" activePane="bottomRight" state="frozen"/>
      <selection pane="bottomRight" activeCell="S17" sqref="S17"/>
      <pageMargins left="0.7" right="0.7" top="0.75" bottom="0.75" header="0.3" footer="0.3"/>
      <pageSetup orientation="portrait" r:id="rId1"/>
    </customSheetView>
    <customSheetView guid="{DB9039ED-C6EA-422D-9A5D-D152D95EDC67}" showPageBreaks="1" printArea="1">
      <selection activeCell="F10" sqref="F10"/>
      <pageMargins left="0.70866141732283472" right="0.51181102362204722" top="0.74803149606299213" bottom="0.74803149606299213" header="0.31496062992125984" footer="0.31496062992125984"/>
      <printOptions horizontalCentered="1"/>
      <pageSetup paperSize="8" scale="60" orientation="landscape" r:id="rId2"/>
    </customSheetView>
  </customSheetViews>
  <mergeCells count="38">
    <mergeCell ref="A2:AG2"/>
    <mergeCell ref="A3:AG3"/>
    <mergeCell ref="AF6:AG7"/>
    <mergeCell ref="D7:D8"/>
    <mergeCell ref="E7:F7"/>
    <mergeCell ref="G7:G8"/>
    <mergeCell ref="H7:H8"/>
    <mergeCell ref="I7:I8"/>
    <mergeCell ref="N7:N8"/>
    <mergeCell ref="O7:P7"/>
    <mergeCell ref="Q7:Q8"/>
    <mergeCell ref="R7:R8"/>
    <mergeCell ref="A5:A8"/>
    <mergeCell ref="B5:B8"/>
    <mergeCell ref="X5:AG5"/>
    <mergeCell ref="AE6:AE8"/>
    <mergeCell ref="M6:M8"/>
    <mergeCell ref="Z7:AA7"/>
    <mergeCell ref="AB7:AB8"/>
    <mergeCell ref="AC7:AC8"/>
    <mergeCell ref="N6:T6"/>
    <mergeCell ref="T7:T8"/>
    <mergeCell ref="AP9:AQ9"/>
    <mergeCell ref="C5:L5"/>
    <mergeCell ref="S7:S8"/>
    <mergeCell ref="V7:V8"/>
    <mergeCell ref="V6:W6"/>
    <mergeCell ref="W7:W8"/>
    <mergeCell ref="M5:W5"/>
    <mergeCell ref="U6:U8"/>
    <mergeCell ref="X6:X8"/>
    <mergeCell ref="Y6:AD6"/>
    <mergeCell ref="Y7:Y8"/>
    <mergeCell ref="AD7:AD8"/>
    <mergeCell ref="C6:C8"/>
    <mergeCell ref="D6:I6"/>
    <mergeCell ref="J6:J8"/>
    <mergeCell ref="K6:L7"/>
  </mergeCell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sheetPr>
    <tabColor rgb="FF7030A0"/>
  </sheetPr>
  <dimension ref="A1:L23"/>
  <sheetViews>
    <sheetView workbookViewId="0">
      <selection activeCell="B11" sqref="B11"/>
    </sheetView>
  </sheetViews>
  <sheetFormatPr defaultRowHeight="15"/>
  <cols>
    <col min="1" max="1" width="5.7109375" customWidth="1"/>
    <col min="2" max="2" width="17.5703125" customWidth="1"/>
    <col min="3" max="3" width="10.7109375" customWidth="1"/>
    <col min="5" max="5" width="11.85546875" customWidth="1"/>
    <col min="9" max="9" width="9.42578125" customWidth="1"/>
    <col min="12" max="12" width="11.7109375" customWidth="1"/>
  </cols>
  <sheetData>
    <row r="1" spans="1:12" ht="15.75">
      <c r="L1" s="26" t="s">
        <v>545</v>
      </c>
    </row>
    <row r="2" spans="1:12" ht="39" customHeight="1">
      <c r="A2" s="781" t="s">
        <v>843</v>
      </c>
      <c r="B2" s="781"/>
      <c r="C2" s="781"/>
      <c r="D2" s="781"/>
      <c r="E2" s="781"/>
      <c r="F2" s="781"/>
      <c r="G2" s="781"/>
      <c r="H2" s="781"/>
      <c r="I2" s="781"/>
      <c r="J2" s="781"/>
      <c r="K2" s="781"/>
      <c r="L2" s="781"/>
    </row>
    <row r="3" spans="1:12" ht="15.75">
      <c r="A3" s="774" t="s">
        <v>126</v>
      </c>
      <c r="B3" s="774"/>
      <c r="C3" s="774"/>
      <c r="D3" s="774"/>
      <c r="E3" s="774"/>
      <c r="F3" s="774"/>
      <c r="G3" s="774"/>
      <c r="H3" s="774"/>
      <c r="I3" s="774"/>
      <c r="J3" s="774"/>
      <c r="K3" s="774"/>
      <c r="L3" s="774"/>
    </row>
    <row r="4" spans="1:12" ht="15.75">
      <c r="L4" s="27" t="s">
        <v>56</v>
      </c>
    </row>
    <row r="5" spans="1:12" ht="30" customHeight="1">
      <c r="A5" s="773" t="s">
        <v>3</v>
      </c>
      <c r="B5" s="773" t="s">
        <v>546</v>
      </c>
      <c r="C5" s="773" t="s">
        <v>845</v>
      </c>
      <c r="D5" s="773" t="s">
        <v>800</v>
      </c>
      <c r="E5" s="773"/>
      <c r="F5" s="773"/>
      <c r="G5" s="773"/>
      <c r="H5" s="773" t="s">
        <v>797</v>
      </c>
      <c r="I5" s="773"/>
      <c r="J5" s="773"/>
      <c r="K5" s="773"/>
      <c r="L5" s="773" t="s">
        <v>844</v>
      </c>
    </row>
    <row r="6" spans="1:12" ht="47.25" customHeight="1">
      <c r="A6" s="773"/>
      <c r="B6" s="773"/>
      <c r="C6" s="773"/>
      <c r="D6" s="773" t="s">
        <v>548</v>
      </c>
      <c r="E6" s="773"/>
      <c r="F6" s="773" t="s">
        <v>549</v>
      </c>
      <c r="G6" s="773" t="s">
        <v>550</v>
      </c>
      <c r="H6" s="773" t="s">
        <v>548</v>
      </c>
      <c r="I6" s="773"/>
      <c r="J6" s="773" t="s">
        <v>549</v>
      </c>
      <c r="K6" s="773" t="s">
        <v>550</v>
      </c>
      <c r="L6" s="773"/>
    </row>
    <row r="7" spans="1:12" ht="78.75">
      <c r="A7" s="773"/>
      <c r="B7" s="773"/>
      <c r="C7" s="773"/>
      <c r="D7" s="30" t="s">
        <v>130</v>
      </c>
      <c r="E7" s="30" t="s">
        <v>551</v>
      </c>
      <c r="F7" s="773"/>
      <c r="G7" s="773"/>
      <c r="H7" s="30" t="s">
        <v>130</v>
      </c>
      <c r="I7" s="30" t="s">
        <v>551</v>
      </c>
      <c r="J7" s="773"/>
      <c r="K7" s="773"/>
      <c r="L7" s="773"/>
    </row>
    <row r="8" spans="1:12" s="94" customFormat="1" ht="12.75">
      <c r="A8" s="93" t="s">
        <v>15</v>
      </c>
      <c r="B8" s="93" t="s">
        <v>16</v>
      </c>
      <c r="C8" s="93">
        <v>1</v>
      </c>
      <c r="D8" s="93">
        <v>2</v>
      </c>
      <c r="E8" s="93">
        <v>3</v>
      </c>
      <c r="F8" s="93">
        <v>4</v>
      </c>
      <c r="G8" s="93" t="s">
        <v>552</v>
      </c>
      <c r="H8" s="93">
        <v>6</v>
      </c>
      <c r="I8" s="93">
        <v>7</v>
      </c>
      <c r="J8" s="93">
        <v>8</v>
      </c>
      <c r="K8" s="93" t="s">
        <v>553</v>
      </c>
      <c r="L8" s="93" t="s">
        <v>554</v>
      </c>
    </row>
    <row r="9" spans="1:12" ht="15.75">
      <c r="A9" s="73">
        <v>1</v>
      </c>
      <c r="B9" s="91" t="s">
        <v>555</v>
      </c>
      <c r="C9" s="91"/>
      <c r="D9" s="91"/>
      <c r="E9" s="91"/>
      <c r="F9" s="91"/>
      <c r="G9" s="91"/>
      <c r="H9" s="91"/>
      <c r="I9" s="91"/>
      <c r="J9" s="91"/>
      <c r="K9" s="91"/>
      <c r="L9" s="91"/>
    </row>
    <row r="10" spans="1:12" ht="15.75">
      <c r="A10" s="76">
        <v>2</v>
      </c>
      <c r="B10" s="77" t="s">
        <v>556</v>
      </c>
      <c r="C10" s="77"/>
      <c r="D10" s="77"/>
      <c r="E10" s="77"/>
      <c r="F10" s="77"/>
      <c r="G10" s="77"/>
      <c r="H10" s="77"/>
      <c r="I10" s="77"/>
      <c r="J10" s="77"/>
      <c r="K10" s="77"/>
      <c r="L10" s="77"/>
    </row>
    <row r="11" spans="1:12" ht="15.75">
      <c r="A11" s="76">
        <v>3</v>
      </c>
      <c r="B11" s="77" t="s">
        <v>557</v>
      </c>
      <c r="C11" s="77"/>
      <c r="D11" s="77"/>
      <c r="E11" s="77"/>
      <c r="F11" s="77"/>
      <c r="G11" s="77"/>
      <c r="H11" s="77"/>
      <c r="I11" s="77"/>
      <c r="J11" s="77"/>
      <c r="K11" s="77"/>
      <c r="L11" s="77"/>
    </row>
    <row r="12" spans="1:12" ht="15.75">
      <c r="A12" s="76">
        <v>4</v>
      </c>
      <c r="B12" s="77" t="s">
        <v>474</v>
      </c>
      <c r="C12" s="77"/>
      <c r="D12" s="77"/>
      <c r="E12" s="77"/>
      <c r="F12" s="77"/>
      <c r="G12" s="77"/>
      <c r="H12" s="77"/>
      <c r="I12" s="77"/>
      <c r="J12" s="77"/>
      <c r="K12" s="77"/>
      <c r="L12" s="77"/>
    </row>
    <row r="13" spans="1:12" ht="15.75">
      <c r="A13" s="76">
        <v>5</v>
      </c>
      <c r="B13" s="95"/>
      <c r="C13" s="77"/>
      <c r="D13" s="77"/>
      <c r="E13" s="77"/>
      <c r="F13" s="77"/>
      <c r="G13" s="77"/>
      <c r="H13" s="77"/>
      <c r="I13" s="77"/>
      <c r="J13" s="77"/>
      <c r="K13" s="77"/>
      <c r="L13" s="77"/>
    </row>
    <row r="14" spans="1:12" ht="15.75">
      <c r="A14" s="76">
        <v>6</v>
      </c>
      <c r="B14" s="95"/>
      <c r="C14" s="77"/>
      <c r="D14" s="77"/>
      <c r="E14" s="77"/>
      <c r="F14" s="77"/>
      <c r="G14" s="77"/>
      <c r="H14" s="77"/>
      <c r="I14" s="77"/>
      <c r="J14" s="77"/>
      <c r="K14" s="77"/>
      <c r="L14" s="77"/>
    </row>
    <row r="15" spans="1:12" ht="15.75">
      <c r="A15" s="76">
        <v>7</v>
      </c>
      <c r="B15" s="95"/>
      <c r="C15" s="77"/>
      <c r="D15" s="77"/>
      <c r="E15" s="77"/>
      <c r="F15" s="77"/>
      <c r="G15" s="77"/>
      <c r="H15" s="77"/>
      <c r="I15" s="77"/>
      <c r="J15" s="77"/>
      <c r="K15" s="77"/>
      <c r="L15" s="77"/>
    </row>
    <row r="16" spans="1:12" ht="15.75">
      <c r="A16" s="76">
        <v>8</v>
      </c>
      <c r="B16" s="95"/>
      <c r="C16" s="77"/>
      <c r="D16" s="77"/>
      <c r="E16" s="77"/>
      <c r="F16" s="77"/>
      <c r="G16" s="77"/>
      <c r="H16" s="77"/>
      <c r="I16" s="77"/>
      <c r="J16" s="77"/>
      <c r="K16" s="77"/>
      <c r="L16" s="77"/>
    </row>
    <row r="17" spans="1:12" ht="15.75">
      <c r="A17" s="76">
        <v>9</v>
      </c>
      <c r="B17" s="95"/>
      <c r="C17" s="77"/>
      <c r="D17" s="77"/>
      <c r="E17" s="77"/>
      <c r="F17" s="77"/>
      <c r="G17" s="77"/>
      <c r="H17" s="77"/>
      <c r="I17" s="77"/>
      <c r="J17" s="77"/>
      <c r="K17" s="77"/>
      <c r="L17" s="77"/>
    </row>
    <row r="18" spans="1:12" ht="15.75">
      <c r="A18" s="76">
        <v>10</v>
      </c>
      <c r="B18" s="95"/>
      <c r="C18" s="77"/>
      <c r="D18" s="77"/>
      <c r="E18" s="77"/>
      <c r="F18" s="77"/>
      <c r="G18" s="77"/>
      <c r="H18" s="77"/>
      <c r="I18" s="77"/>
      <c r="J18" s="77"/>
      <c r="K18" s="77"/>
      <c r="L18" s="77"/>
    </row>
    <row r="19" spans="1:12" ht="15.75">
      <c r="A19" s="76">
        <v>11</v>
      </c>
      <c r="B19" s="95"/>
      <c r="C19" s="77"/>
      <c r="D19" s="77"/>
      <c r="E19" s="77"/>
      <c r="F19" s="77"/>
      <c r="G19" s="77"/>
      <c r="H19" s="77"/>
      <c r="I19" s="77"/>
      <c r="J19" s="77"/>
      <c r="K19" s="77"/>
      <c r="L19" s="77"/>
    </row>
    <row r="20" spans="1:12" ht="15.75">
      <c r="A20" s="76">
        <v>12</v>
      </c>
      <c r="B20" s="95"/>
      <c r="C20" s="77"/>
      <c r="D20" s="77"/>
      <c r="E20" s="77"/>
      <c r="F20" s="77"/>
      <c r="G20" s="77"/>
      <c r="H20" s="77"/>
      <c r="I20" s="77"/>
      <c r="J20" s="77"/>
      <c r="K20" s="77"/>
      <c r="L20" s="77"/>
    </row>
    <row r="21" spans="1:12" ht="15.75">
      <c r="A21" s="76">
        <v>13</v>
      </c>
      <c r="B21" s="95"/>
      <c r="C21" s="77"/>
      <c r="D21" s="77"/>
      <c r="E21" s="77"/>
      <c r="F21" s="77"/>
      <c r="G21" s="77"/>
      <c r="H21" s="77"/>
      <c r="I21" s="77"/>
      <c r="J21" s="77"/>
      <c r="K21" s="77"/>
      <c r="L21" s="77"/>
    </row>
    <row r="22" spans="1:12" ht="15.75">
      <c r="A22" s="76">
        <v>14</v>
      </c>
      <c r="B22" s="95"/>
      <c r="C22" s="77"/>
      <c r="D22" s="77"/>
      <c r="E22" s="77"/>
      <c r="F22" s="77"/>
      <c r="G22" s="77"/>
      <c r="H22" s="77"/>
      <c r="I22" s="77"/>
      <c r="J22" s="77"/>
      <c r="K22" s="77"/>
      <c r="L22" s="77"/>
    </row>
    <row r="23" spans="1:12" ht="15.75">
      <c r="A23" s="81">
        <v>15</v>
      </c>
      <c r="B23" s="96"/>
      <c r="C23" s="92"/>
      <c r="D23" s="92"/>
      <c r="E23" s="92"/>
      <c r="F23" s="92"/>
      <c r="G23" s="92"/>
      <c r="H23" s="92"/>
      <c r="I23" s="92"/>
      <c r="J23" s="92"/>
      <c r="K23" s="92"/>
      <c r="L23" s="92"/>
    </row>
  </sheetData>
  <customSheetViews>
    <customSheetView guid="{9F606621-8853-4836-9A7E-DBA5CF152671}">
      <selection activeCell="B11" sqref="B11"/>
      <pageMargins left="0.7" right="0.7" top="0.75" bottom="0.75" header="0.3" footer="0.3"/>
    </customSheetView>
    <customSheetView guid="{DB9039ED-C6EA-422D-9A5D-D152D95EDC67}">
      <selection activeCell="B11" sqref="B11"/>
      <pageMargins left="0.7" right="0.7" top="0.75" bottom="0.75" header="0.3" footer="0.3"/>
    </customSheetView>
  </customSheetViews>
  <mergeCells count="14">
    <mergeCell ref="A2:L2"/>
    <mergeCell ref="A3:L3"/>
    <mergeCell ref="J6:J7"/>
    <mergeCell ref="K6:K7"/>
    <mergeCell ref="A5:A7"/>
    <mergeCell ref="B5:B7"/>
    <mergeCell ref="C5:C7"/>
    <mergeCell ref="D5:G5"/>
    <mergeCell ref="H5:K5"/>
    <mergeCell ref="L5:L7"/>
    <mergeCell ref="D6:E6"/>
    <mergeCell ref="F6:F7"/>
    <mergeCell ref="G6:G7"/>
    <mergeCell ref="H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7" tint="0.39997558519241921"/>
  </sheetPr>
  <dimension ref="A1:I50"/>
  <sheetViews>
    <sheetView workbookViewId="0">
      <selection sqref="A1:I1"/>
    </sheetView>
  </sheetViews>
  <sheetFormatPr defaultColWidth="9.140625" defaultRowHeight="15"/>
  <cols>
    <col min="1" max="1" width="6.28515625" style="8" customWidth="1"/>
    <col min="2" max="2" width="31.28515625" style="8" customWidth="1"/>
    <col min="3" max="8" width="10.28515625" style="8" customWidth="1"/>
    <col min="9" max="16384" width="9.140625" style="8"/>
  </cols>
  <sheetData>
    <row r="1" spans="1:9">
      <c r="A1" s="710" t="s">
        <v>124</v>
      </c>
      <c r="B1" s="710"/>
      <c r="C1" s="710"/>
      <c r="D1" s="710"/>
      <c r="E1" s="710"/>
      <c r="F1" s="710"/>
      <c r="G1" s="710"/>
      <c r="H1" s="710"/>
      <c r="I1" s="710"/>
    </row>
    <row r="2" spans="1:9" ht="18.75">
      <c r="A2" s="711" t="s">
        <v>125</v>
      </c>
      <c r="B2" s="711"/>
      <c r="C2" s="711"/>
      <c r="D2" s="711"/>
      <c r="E2" s="711"/>
      <c r="F2" s="711"/>
      <c r="G2" s="711"/>
      <c r="H2" s="711"/>
      <c r="I2" s="711"/>
    </row>
    <row r="3" spans="1:9">
      <c r="A3" s="712" t="s">
        <v>126</v>
      </c>
      <c r="B3" s="712"/>
      <c r="C3" s="712"/>
      <c r="D3" s="712"/>
      <c r="E3" s="712"/>
      <c r="F3" s="712"/>
      <c r="G3" s="712"/>
      <c r="H3" s="712"/>
      <c r="I3" s="712"/>
    </row>
    <row r="4" spans="1:9">
      <c r="H4" s="713" t="s">
        <v>56</v>
      </c>
      <c r="I4" s="713"/>
    </row>
    <row r="5" spans="1:9">
      <c r="A5" s="714" t="s">
        <v>3</v>
      </c>
      <c r="B5" s="714" t="s">
        <v>4</v>
      </c>
      <c r="C5" s="714" t="s">
        <v>127</v>
      </c>
      <c r="D5" s="714"/>
      <c r="E5" s="714"/>
      <c r="F5" s="714" t="s">
        <v>128</v>
      </c>
      <c r="G5" s="714"/>
      <c r="H5" s="714"/>
      <c r="I5" s="714" t="s">
        <v>129</v>
      </c>
    </row>
    <row r="6" spans="1:9" ht="57">
      <c r="A6" s="714"/>
      <c r="B6" s="714"/>
      <c r="C6" s="9" t="s">
        <v>130</v>
      </c>
      <c r="D6" s="9" t="s">
        <v>131</v>
      </c>
      <c r="E6" s="9" t="s">
        <v>132</v>
      </c>
      <c r="F6" s="9" t="s">
        <v>130</v>
      </c>
      <c r="G6" s="9" t="s">
        <v>131</v>
      </c>
      <c r="H6" s="9" t="s">
        <v>132</v>
      </c>
      <c r="I6" s="714"/>
    </row>
    <row r="7" spans="1:9">
      <c r="A7" s="9" t="s">
        <v>15</v>
      </c>
      <c r="B7" s="9" t="s">
        <v>16</v>
      </c>
      <c r="C7" s="9">
        <v>1</v>
      </c>
      <c r="D7" s="9">
        <v>2</v>
      </c>
      <c r="E7" s="9">
        <v>3</v>
      </c>
      <c r="F7" s="9">
        <v>4</v>
      </c>
      <c r="G7" s="9">
        <v>5</v>
      </c>
      <c r="H7" s="9">
        <v>6</v>
      </c>
      <c r="I7" s="9">
        <v>7</v>
      </c>
    </row>
    <row r="8" spans="1:9">
      <c r="A8" s="11"/>
      <c r="B8" s="9" t="s">
        <v>133</v>
      </c>
      <c r="C8" s="11"/>
      <c r="D8" s="11"/>
      <c r="E8" s="11"/>
      <c r="F8" s="11"/>
      <c r="G8" s="11"/>
      <c r="H8" s="11"/>
      <c r="I8" s="11"/>
    </row>
    <row r="9" spans="1:9">
      <c r="A9" s="11"/>
      <c r="B9" s="12" t="s">
        <v>134</v>
      </c>
      <c r="C9" s="11"/>
      <c r="D9" s="11"/>
      <c r="E9" s="11"/>
      <c r="F9" s="11"/>
      <c r="G9" s="11"/>
      <c r="H9" s="11"/>
      <c r="I9" s="11"/>
    </row>
    <row r="10" spans="1:9">
      <c r="A10" s="11" t="s">
        <v>22</v>
      </c>
      <c r="B10" s="12" t="s">
        <v>135</v>
      </c>
      <c r="C10" s="11"/>
      <c r="D10" s="11"/>
      <c r="E10" s="11"/>
      <c r="F10" s="11"/>
      <c r="G10" s="11"/>
      <c r="H10" s="11"/>
      <c r="I10" s="11"/>
    </row>
    <row r="11" spans="1:9">
      <c r="A11" s="11" t="s">
        <v>22</v>
      </c>
      <c r="B11" s="12" t="s">
        <v>136</v>
      </c>
      <c r="C11" s="11"/>
      <c r="D11" s="11"/>
      <c r="E11" s="11"/>
      <c r="F11" s="11"/>
      <c r="G11" s="11"/>
      <c r="H11" s="11"/>
      <c r="I11" s="11"/>
    </row>
    <row r="12" spans="1:9">
      <c r="A12" s="9" t="s">
        <v>83</v>
      </c>
      <c r="B12" s="10" t="s">
        <v>137</v>
      </c>
      <c r="C12" s="11"/>
      <c r="D12" s="11"/>
      <c r="E12" s="11"/>
      <c r="F12" s="11"/>
      <c r="G12" s="11"/>
      <c r="H12" s="11"/>
      <c r="I12" s="11"/>
    </row>
    <row r="13" spans="1:9">
      <c r="A13" s="11"/>
      <c r="B13" s="12" t="s">
        <v>134</v>
      </c>
      <c r="C13" s="11"/>
      <c r="D13" s="11"/>
      <c r="E13" s="11"/>
      <c r="F13" s="11"/>
      <c r="G13" s="11"/>
      <c r="H13" s="11"/>
      <c r="I13" s="11"/>
    </row>
    <row r="14" spans="1:9">
      <c r="A14" s="11" t="s">
        <v>22</v>
      </c>
      <c r="B14" s="12" t="s">
        <v>135</v>
      </c>
      <c r="C14" s="11"/>
      <c r="D14" s="11"/>
      <c r="E14" s="11"/>
      <c r="F14" s="11"/>
      <c r="G14" s="11"/>
      <c r="H14" s="11"/>
      <c r="I14" s="11"/>
    </row>
    <row r="15" spans="1:9">
      <c r="A15" s="11" t="s">
        <v>22</v>
      </c>
      <c r="B15" s="12" t="s">
        <v>136</v>
      </c>
      <c r="C15" s="11"/>
      <c r="D15" s="11"/>
      <c r="E15" s="11"/>
      <c r="F15" s="11"/>
      <c r="G15" s="11"/>
      <c r="H15" s="11"/>
      <c r="I15" s="11"/>
    </row>
    <row r="16" spans="1:9">
      <c r="A16" s="11">
        <v>1</v>
      </c>
      <c r="B16" s="12" t="s">
        <v>138</v>
      </c>
      <c r="C16" s="11"/>
      <c r="D16" s="11"/>
      <c r="E16" s="11"/>
      <c r="F16" s="11"/>
      <c r="G16" s="11"/>
      <c r="H16" s="11"/>
      <c r="I16" s="11"/>
    </row>
    <row r="17" spans="1:9" ht="30">
      <c r="A17" s="11">
        <v>2</v>
      </c>
      <c r="B17" s="12" t="s">
        <v>139</v>
      </c>
      <c r="C17" s="11"/>
      <c r="D17" s="11"/>
      <c r="E17" s="11"/>
      <c r="F17" s="11"/>
      <c r="G17" s="11"/>
      <c r="H17" s="11"/>
      <c r="I17" s="11"/>
    </row>
    <row r="18" spans="1:9" ht="30">
      <c r="A18" s="11">
        <v>3</v>
      </c>
      <c r="B18" s="12" t="s">
        <v>140</v>
      </c>
      <c r="C18" s="11"/>
      <c r="D18" s="11"/>
      <c r="E18" s="11"/>
      <c r="F18" s="11"/>
      <c r="G18" s="11"/>
      <c r="H18" s="11"/>
      <c r="I18" s="11"/>
    </row>
    <row r="19" spans="1:9">
      <c r="A19" s="11">
        <v>4</v>
      </c>
      <c r="B19" s="12" t="s">
        <v>141</v>
      </c>
      <c r="C19" s="11"/>
      <c r="D19" s="11"/>
      <c r="E19" s="11"/>
      <c r="F19" s="11"/>
      <c r="G19" s="11"/>
      <c r="H19" s="11"/>
      <c r="I19" s="11"/>
    </row>
    <row r="20" spans="1:9" ht="28.5">
      <c r="A20" s="9" t="s">
        <v>70</v>
      </c>
      <c r="B20" s="10" t="s">
        <v>142</v>
      </c>
      <c r="C20" s="11"/>
      <c r="D20" s="11"/>
      <c r="E20" s="11"/>
      <c r="F20" s="11"/>
      <c r="G20" s="11"/>
      <c r="H20" s="11"/>
      <c r="I20" s="11"/>
    </row>
    <row r="21" spans="1:9">
      <c r="A21" s="11"/>
      <c r="B21" s="12" t="s">
        <v>134</v>
      </c>
      <c r="C21" s="11"/>
      <c r="D21" s="11"/>
      <c r="E21" s="11"/>
      <c r="F21" s="11"/>
      <c r="G21" s="11"/>
      <c r="H21" s="11"/>
      <c r="I21" s="11"/>
    </row>
    <row r="22" spans="1:9">
      <c r="A22" s="11" t="s">
        <v>22</v>
      </c>
      <c r="B22" s="12" t="s">
        <v>135</v>
      </c>
      <c r="C22" s="11"/>
      <c r="D22" s="11"/>
      <c r="E22" s="11"/>
      <c r="F22" s="11"/>
      <c r="G22" s="11"/>
      <c r="H22" s="11"/>
      <c r="I22" s="11"/>
    </row>
    <row r="23" spans="1:9">
      <c r="A23" s="11" t="s">
        <v>22</v>
      </c>
      <c r="B23" s="12" t="s">
        <v>136</v>
      </c>
      <c r="C23" s="11"/>
      <c r="D23" s="11"/>
      <c r="E23" s="11"/>
      <c r="F23" s="11"/>
      <c r="G23" s="11"/>
      <c r="H23" s="11"/>
      <c r="I23" s="11"/>
    </row>
    <row r="24" spans="1:9" ht="28.5">
      <c r="A24" s="9">
        <v>1</v>
      </c>
      <c r="B24" s="10" t="s">
        <v>143</v>
      </c>
      <c r="C24" s="11"/>
      <c r="D24" s="11"/>
      <c r="E24" s="11"/>
      <c r="F24" s="11"/>
      <c r="G24" s="11"/>
      <c r="H24" s="11"/>
      <c r="I24" s="11"/>
    </row>
    <row r="25" spans="1:9">
      <c r="A25" s="11"/>
      <c r="B25" s="12" t="s">
        <v>134</v>
      </c>
      <c r="C25" s="11"/>
      <c r="D25" s="11"/>
      <c r="E25" s="11"/>
      <c r="F25" s="11"/>
      <c r="G25" s="11"/>
      <c r="H25" s="11"/>
      <c r="I25" s="11"/>
    </row>
    <row r="26" spans="1:9">
      <c r="A26" s="11" t="s">
        <v>22</v>
      </c>
      <c r="B26" s="12" t="s">
        <v>135</v>
      </c>
      <c r="C26" s="11"/>
      <c r="D26" s="11"/>
      <c r="E26" s="11"/>
      <c r="F26" s="11"/>
      <c r="G26" s="11"/>
      <c r="H26" s="11"/>
      <c r="I26" s="11"/>
    </row>
    <row r="27" spans="1:9">
      <c r="A27" s="11" t="s">
        <v>22</v>
      </c>
      <c r="B27" s="12" t="s">
        <v>136</v>
      </c>
      <c r="C27" s="11"/>
      <c r="D27" s="11"/>
      <c r="E27" s="11"/>
      <c r="F27" s="11"/>
      <c r="G27" s="11"/>
      <c r="H27" s="11"/>
      <c r="I27" s="11"/>
    </row>
    <row r="28" spans="1:9">
      <c r="A28" s="11" t="s">
        <v>144</v>
      </c>
      <c r="B28" s="13" t="s">
        <v>145</v>
      </c>
      <c r="C28" s="11"/>
      <c r="D28" s="11"/>
      <c r="E28" s="11"/>
      <c r="F28" s="11"/>
      <c r="G28" s="11"/>
      <c r="H28" s="11"/>
      <c r="I28" s="11"/>
    </row>
    <row r="29" spans="1:9">
      <c r="A29" s="11"/>
      <c r="B29" s="12" t="s">
        <v>134</v>
      </c>
      <c r="C29" s="11"/>
      <c r="D29" s="11"/>
      <c r="E29" s="11"/>
      <c r="F29" s="11"/>
      <c r="G29" s="11"/>
      <c r="H29" s="11"/>
      <c r="I29" s="11"/>
    </row>
    <row r="30" spans="1:9">
      <c r="A30" s="11" t="s">
        <v>22</v>
      </c>
      <c r="B30" s="12" t="s">
        <v>135</v>
      </c>
      <c r="C30" s="11"/>
      <c r="D30" s="11"/>
      <c r="E30" s="11"/>
      <c r="F30" s="11"/>
      <c r="G30" s="11"/>
      <c r="H30" s="11"/>
      <c r="I30" s="11"/>
    </row>
    <row r="31" spans="1:9">
      <c r="A31" s="11" t="s">
        <v>22</v>
      </c>
      <c r="B31" s="12" t="s">
        <v>136</v>
      </c>
      <c r="C31" s="11"/>
      <c r="D31" s="11"/>
      <c r="E31" s="11"/>
      <c r="F31" s="11"/>
      <c r="G31" s="11"/>
      <c r="H31" s="11"/>
      <c r="I31" s="11"/>
    </row>
    <row r="32" spans="1:9">
      <c r="A32" s="11" t="s">
        <v>146</v>
      </c>
      <c r="B32" s="13" t="s">
        <v>147</v>
      </c>
      <c r="C32" s="11"/>
      <c r="D32" s="11"/>
      <c r="E32" s="11"/>
      <c r="F32" s="11"/>
      <c r="G32" s="11"/>
      <c r="H32" s="11"/>
      <c r="I32" s="11"/>
    </row>
    <row r="33" spans="1:9">
      <c r="A33" s="11"/>
      <c r="B33" s="12" t="s">
        <v>148</v>
      </c>
      <c r="C33" s="11"/>
      <c r="D33" s="11"/>
      <c r="E33" s="11"/>
      <c r="F33" s="11"/>
      <c r="G33" s="11"/>
      <c r="H33" s="11"/>
      <c r="I33" s="11"/>
    </row>
    <row r="34" spans="1:9">
      <c r="A34" s="11" t="s">
        <v>149</v>
      </c>
      <c r="B34" s="13" t="s">
        <v>150</v>
      </c>
      <c r="C34" s="11"/>
      <c r="D34" s="11"/>
      <c r="E34" s="11"/>
      <c r="F34" s="11"/>
      <c r="G34" s="11"/>
      <c r="H34" s="11"/>
      <c r="I34" s="11"/>
    </row>
    <row r="35" spans="1:9">
      <c r="A35" s="9">
        <v>2</v>
      </c>
      <c r="B35" s="10" t="s">
        <v>151</v>
      </c>
      <c r="C35" s="11"/>
      <c r="D35" s="11"/>
      <c r="E35" s="11"/>
      <c r="F35" s="11"/>
      <c r="G35" s="11"/>
      <c r="H35" s="11"/>
      <c r="I35" s="11"/>
    </row>
    <row r="36" spans="1:9">
      <c r="A36" s="11"/>
      <c r="B36" s="12" t="s">
        <v>134</v>
      </c>
      <c r="C36" s="11"/>
      <c r="D36" s="11"/>
      <c r="E36" s="11"/>
      <c r="F36" s="11"/>
      <c r="G36" s="11"/>
      <c r="H36" s="11"/>
      <c r="I36" s="11"/>
    </row>
    <row r="37" spans="1:9">
      <c r="A37" s="11" t="s">
        <v>22</v>
      </c>
      <c r="B37" s="12" t="s">
        <v>135</v>
      </c>
      <c r="C37" s="11"/>
      <c r="D37" s="11"/>
      <c r="E37" s="11"/>
      <c r="F37" s="11"/>
      <c r="G37" s="11"/>
      <c r="H37" s="11"/>
      <c r="I37" s="11"/>
    </row>
    <row r="38" spans="1:9">
      <c r="A38" s="11" t="s">
        <v>22</v>
      </c>
      <c r="B38" s="12" t="s">
        <v>136</v>
      </c>
      <c r="C38" s="11"/>
      <c r="D38" s="11"/>
      <c r="E38" s="11"/>
      <c r="F38" s="11"/>
      <c r="G38" s="11"/>
      <c r="H38" s="11"/>
      <c r="I38" s="11"/>
    </row>
    <row r="39" spans="1:9">
      <c r="A39" s="11" t="s">
        <v>144</v>
      </c>
      <c r="B39" s="13" t="s">
        <v>152</v>
      </c>
      <c r="C39" s="11"/>
      <c r="D39" s="11"/>
      <c r="E39" s="11"/>
      <c r="F39" s="11"/>
      <c r="G39" s="11"/>
      <c r="H39" s="11"/>
      <c r="I39" s="11"/>
    </row>
    <row r="40" spans="1:9">
      <c r="A40" s="11"/>
      <c r="B40" s="12" t="s">
        <v>134</v>
      </c>
      <c r="C40" s="11"/>
      <c r="D40" s="11"/>
      <c r="E40" s="11"/>
      <c r="F40" s="11"/>
      <c r="G40" s="11"/>
      <c r="H40" s="11"/>
      <c r="I40" s="11"/>
    </row>
    <row r="41" spans="1:9">
      <c r="A41" s="11" t="s">
        <v>22</v>
      </c>
      <c r="B41" s="12" t="s">
        <v>135</v>
      </c>
      <c r="C41" s="11"/>
      <c r="D41" s="11"/>
      <c r="E41" s="11"/>
      <c r="F41" s="11"/>
      <c r="G41" s="11"/>
      <c r="H41" s="11"/>
      <c r="I41" s="11"/>
    </row>
    <row r="42" spans="1:9">
      <c r="A42" s="11" t="s">
        <v>22</v>
      </c>
      <c r="B42" s="12" t="s">
        <v>136</v>
      </c>
      <c r="C42" s="11"/>
      <c r="D42" s="11"/>
      <c r="E42" s="11"/>
      <c r="F42" s="11"/>
      <c r="G42" s="11"/>
      <c r="H42" s="11"/>
      <c r="I42" s="11"/>
    </row>
    <row r="43" spans="1:9">
      <c r="A43" s="11" t="s">
        <v>146</v>
      </c>
      <c r="B43" s="13" t="s">
        <v>153</v>
      </c>
      <c r="C43" s="11"/>
      <c r="D43" s="11"/>
      <c r="E43" s="11"/>
      <c r="F43" s="11"/>
      <c r="G43" s="11"/>
      <c r="H43" s="11"/>
      <c r="I43" s="11"/>
    </row>
    <row r="44" spans="1:9">
      <c r="A44" s="11"/>
      <c r="B44" s="12" t="s">
        <v>154</v>
      </c>
      <c r="C44" s="11"/>
      <c r="D44" s="11"/>
      <c r="E44" s="11"/>
      <c r="F44" s="11"/>
      <c r="G44" s="11"/>
      <c r="H44" s="11"/>
      <c r="I44" s="11"/>
    </row>
    <row r="45" spans="1:9">
      <c r="A45" s="11" t="s">
        <v>149</v>
      </c>
      <c r="B45" s="13" t="s">
        <v>150</v>
      </c>
      <c r="C45" s="11"/>
      <c r="D45" s="11"/>
      <c r="E45" s="11"/>
      <c r="F45" s="11"/>
      <c r="G45" s="11"/>
      <c r="H45" s="11"/>
      <c r="I45" s="11"/>
    </row>
    <row r="46" spans="1:9" ht="28.5">
      <c r="A46" s="9" t="s">
        <v>73</v>
      </c>
      <c r="B46" s="10" t="s">
        <v>155</v>
      </c>
      <c r="C46" s="11"/>
      <c r="D46" s="11"/>
      <c r="E46" s="11"/>
      <c r="F46" s="11"/>
      <c r="G46" s="11"/>
      <c r="H46" s="11"/>
      <c r="I46" s="11"/>
    </row>
    <row r="47" spans="1:9">
      <c r="A47" s="11">
        <v>1</v>
      </c>
      <c r="B47" s="12" t="s">
        <v>156</v>
      </c>
      <c r="C47" s="11"/>
      <c r="D47" s="11"/>
      <c r="E47" s="11"/>
      <c r="F47" s="11"/>
      <c r="G47" s="11"/>
      <c r="H47" s="11"/>
      <c r="I47" s="11"/>
    </row>
    <row r="48" spans="1:9">
      <c r="A48" s="11">
        <v>2</v>
      </c>
      <c r="B48" s="12" t="s">
        <v>136</v>
      </c>
      <c r="C48" s="11"/>
      <c r="D48" s="11"/>
      <c r="E48" s="11"/>
      <c r="F48" s="11"/>
      <c r="G48" s="11"/>
      <c r="H48" s="11"/>
      <c r="I48" s="11"/>
    </row>
    <row r="49" spans="1:1">
      <c r="A49" s="14" t="s">
        <v>157</v>
      </c>
    </row>
    <row r="50" spans="1:1">
      <c r="A50" s="14" t="s">
        <v>158</v>
      </c>
    </row>
  </sheetData>
  <customSheetViews>
    <customSheetView guid="{9F606621-8853-4836-9A7E-DBA5CF152671}" state="hidden">
      <selection sqref="A1:I1"/>
      <pageMargins left="0.7" right="0.7" top="0.75" bottom="0.75" header="0.3" footer="0.3"/>
    </customSheetView>
    <customSheetView guid="{DB9039ED-C6EA-422D-9A5D-D152D95EDC67}" state="hidden">
      <selection sqref="A1:I1"/>
      <pageMargins left="0.7" right="0.7" top="0.75" bottom="0.75" header="0.3" footer="0.3"/>
    </customSheetView>
  </customSheetViews>
  <mergeCells count="9">
    <mergeCell ref="A1:I1"/>
    <mergeCell ref="A2:I2"/>
    <mergeCell ref="A3:I3"/>
    <mergeCell ref="H4:I4"/>
    <mergeCell ref="A5:A6"/>
    <mergeCell ref="B5:B6"/>
    <mergeCell ref="C5:E5"/>
    <mergeCell ref="F5:H5"/>
    <mergeCell ref="I5:I6"/>
  </mergeCells>
  <pageMargins left="0.7" right="0.7" top="0.75" bottom="0.75" header="0.3" footer="0.3"/>
</worksheet>
</file>

<file path=xl/worksheets/sheet30.xml><?xml version="1.0" encoding="utf-8"?>
<worksheet xmlns="http://schemas.openxmlformats.org/spreadsheetml/2006/main" xmlns:r="http://schemas.openxmlformats.org/officeDocument/2006/relationships">
  <sheetPr>
    <tabColor rgb="FF7030A0"/>
  </sheetPr>
  <dimension ref="A1:N99"/>
  <sheetViews>
    <sheetView workbookViewId="0">
      <selection activeCell="B17" sqref="B17"/>
    </sheetView>
  </sheetViews>
  <sheetFormatPr defaultRowHeight="15"/>
  <cols>
    <col min="1" max="1" width="6.5703125" customWidth="1"/>
    <col min="2" max="2" width="44.7109375" customWidth="1"/>
    <col min="3" max="4" width="12.7109375" style="193" customWidth="1"/>
    <col min="5" max="5" width="12.7109375" customWidth="1"/>
    <col min="11" max="11" width="32.42578125" customWidth="1"/>
    <col min="12" max="14" width="17" customWidth="1"/>
  </cols>
  <sheetData>
    <row r="1" spans="1:14" ht="15.75">
      <c r="E1" s="26" t="s">
        <v>558</v>
      </c>
    </row>
    <row r="2" spans="1:14" ht="36" customHeight="1">
      <c r="A2" s="781" t="s">
        <v>1457</v>
      </c>
      <c r="B2" s="781"/>
      <c r="C2" s="781"/>
      <c r="D2" s="781"/>
      <c r="E2" s="781"/>
    </row>
    <row r="3" spans="1:14" ht="15.75">
      <c r="A3" s="781" t="s">
        <v>559</v>
      </c>
      <c r="B3" s="781"/>
      <c r="C3" s="781"/>
      <c r="D3" s="781"/>
      <c r="E3" s="781"/>
    </row>
    <row r="4" spans="1:14" ht="15.75">
      <c r="A4" s="774"/>
      <c r="B4" s="774"/>
      <c r="C4" s="774"/>
      <c r="D4" s="774"/>
      <c r="E4" s="774"/>
    </row>
    <row r="5" spans="1:14" ht="18.75">
      <c r="E5" s="27" t="s">
        <v>56</v>
      </c>
      <c r="J5" s="496"/>
      <c r="K5" s="496"/>
      <c r="L5" s="496"/>
      <c r="M5" s="496"/>
      <c r="N5" s="497" t="s">
        <v>1364</v>
      </c>
    </row>
    <row r="6" spans="1:14" ht="47.25">
      <c r="A6" s="30" t="s">
        <v>3</v>
      </c>
      <c r="B6" s="30" t="s">
        <v>4</v>
      </c>
      <c r="C6" s="543" t="s">
        <v>800</v>
      </c>
      <c r="D6" s="543" t="s">
        <v>797</v>
      </c>
      <c r="E6" s="30" t="s">
        <v>346</v>
      </c>
      <c r="J6" s="498" t="s">
        <v>3</v>
      </c>
      <c r="K6" s="498" t="s">
        <v>4</v>
      </c>
      <c r="L6" s="499" t="s">
        <v>800</v>
      </c>
      <c r="M6" s="499" t="s">
        <v>1365</v>
      </c>
      <c r="N6" s="499" t="s">
        <v>1366</v>
      </c>
    </row>
    <row r="7" spans="1:14" ht="15.75">
      <c r="A7" s="30" t="s">
        <v>15</v>
      </c>
      <c r="B7" s="30" t="s">
        <v>16</v>
      </c>
      <c r="C7" s="543">
        <v>1</v>
      </c>
      <c r="D7" s="543">
        <v>2</v>
      </c>
      <c r="E7" s="30" t="s">
        <v>258</v>
      </c>
      <c r="J7" s="500"/>
      <c r="K7" s="500" t="s">
        <v>1367</v>
      </c>
      <c r="L7" s="501">
        <f>L8+L70</f>
        <v>1021863000</v>
      </c>
      <c r="M7" s="501">
        <f>M8+M70</f>
        <v>1227368000</v>
      </c>
      <c r="N7" s="502">
        <f t="shared" ref="N7:N10" si="0">M7/L7</f>
        <v>1.2011081720348031</v>
      </c>
    </row>
    <row r="8" spans="1:14" s="101" customFormat="1" ht="19.5" customHeight="1">
      <c r="A8" s="71"/>
      <c r="B8" s="72" t="s">
        <v>133</v>
      </c>
      <c r="C8" s="167">
        <f>+C9+C12+C13+C14+C15+C16+C17</f>
        <v>1021863</v>
      </c>
      <c r="D8" s="167">
        <f>+D9+D12+D13+D14+D15+D16+D17</f>
        <v>1227368</v>
      </c>
      <c r="E8" s="546">
        <f>D8/C8</f>
        <v>1.2011081720348031</v>
      </c>
      <c r="J8" s="503" t="s">
        <v>15</v>
      </c>
      <c r="K8" s="504" t="s">
        <v>1368</v>
      </c>
      <c r="L8" s="505">
        <f>L9+L24+L27+L38+L55+L66+L68</f>
        <v>834213000</v>
      </c>
      <c r="M8" s="505">
        <f>M9+M24+M27+M38+M55+M66+M68</f>
        <v>992653000</v>
      </c>
      <c r="N8" s="502">
        <f t="shared" si="0"/>
        <v>1.1899275125177862</v>
      </c>
    </row>
    <row r="9" spans="1:14" ht="19.5" customHeight="1">
      <c r="A9" s="76">
        <v>1</v>
      </c>
      <c r="B9" s="77" t="s">
        <v>560</v>
      </c>
      <c r="C9" s="158">
        <f>C10+C11</f>
        <v>73157</v>
      </c>
      <c r="D9" s="158">
        <f>D10+D11</f>
        <v>78109</v>
      </c>
      <c r="E9" s="545">
        <f>D9/C9</f>
        <v>1.0676900364968493</v>
      </c>
      <c r="J9" s="506" t="s">
        <v>83</v>
      </c>
      <c r="K9" s="507" t="s">
        <v>1369</v>
      </c>
      <c r="L9" s="505">
        <f>(L10+L14+L16)</f>
        <v>38120000</v>
      </c>
      <c r="M9" s="505">
        <f t="shared" ref="M9" si="1">(M10+M14+M16)</f>
        <v>30245000</v>
      </c>
      <c r="N9" s="502">
        <f t="shared" si="0"/>
        <v>0.79341552990556141</v>
      </c>
    </row>
    <row r="10" spans="1:14" ht="19.5" customHeight="1">
      <c r="A10" s="76" t="s">
        <v>22</v>
      </c>
      <c r="B10" s="78" t="s">
        <v>561</v>
      </c>
      <c r="C10" s="158">
        <f>L24/1000</f>
        <v>44500</v>
      </c>
      <c r="D10" s="158">
        <f>M24/1000</f>
        <v>44500</v>
      </c>
      <c r="E10" s="545">
        <f t="shared" ref="E10:E17" si="2">D10/C10</f>
        <v>1</v>
      </c>
      <c r="J10" s="506"/>
      <c r="K10" s="507" t="s">
        <v>1370</v>
      </c>
      <c r="L10" s="505">
        <f>SUM(L11:L13)</f>
        <v>26800000</v>
      </c>
      <c r="M10" s="505">
        <f>SUM(M11:M13)</f>
        <v>18800000</v>
      </c>
      <c r="N10" s="502">
        <f t="shared" si="0"/>
        <v>0.70149253731343286</v>
      </c>
    </row>
    <row r="11" spans="1:14" ht="19.5" customHeight="1">
      <c r="A11" s="76" t="s">
        <v>22</v>
      </c>
      <c r="B11" s="78" t="s">
        <v>562</v>
      </c>
      <c r="C11" s="158">
        <f>L27/1000+L95/1000</f>
        <v>28657</v>
      </c>
      <c r="D11" s="158">
        <f>M27/1000+M95/1000</f>
        <v>33609</v>
      </c>
      <c r="E11" s="545">
        <f t="shared" si="2"/>
        <v>1.1728024566423561</v>
      </c>
      <c r="J11" s="508">
        <v>1</v>
      </c>
      <c r="K11" s="509" t="s">
        <v>1371</v>
      </c>
      <c r="L11" s="510">
        <v>1300000</v>
      </c>
      <c r="M11" s="509">
        <v>1300000</v>
      </c>
      <c r="N11" s="511">
        <f>M11/L11</f>
        <v>1</v>
      </c>
    </row>
    <row r="12" spans="1:14" ht="19.5" customHeight="1">
      <c r="A12" s="76">
        <v>2</v>
      </c>
      <c r="B12" s="77" t="s">
        <v>563</v>
      </c>
      <c r="C12" s="158"/>
      <c r="D12" s="158"/>
      <c r="E12" s="545"/>
      <c r="J12" s="508">
        <v>2</v>
      </c>
      <c r="K12" s="509" t="s">
        <v>1372</v>
      </c>
      <c r="L12" s="512">
        <v>20000000</v>
      </c>
      <c r="M12" s="509">
        <v>12000000</v>
      </c>
      <c r="N12" s="511">
        <f t="shared" ref="N12:N65" si="3">M12/L12</f>
        <v>0.6</v>
      </c>
    </row>
    <row r="13" spans="1:14" ht="19.5" customHeight="1">
      <c r="A13" s="76">
        <v>3</v>
      </c>
      <c r="B13" s="77" t="s">
        <v>564</v>
      </c>
      <c r="C13" s="158">
        <f>L38/1000</f>
        <v>668503</v>
      </c>
      <c r="D13" s="158">
        <f>M38/1000</f>
        <v>827539</v>
      </c>
      <c r="E13" s="545">
        <f t="shared" si="2"/>
        <v>1.2378987080087898</v>
      </c>
      <c r="J13" s="508">
        <v>3</v>
      </c>
      <c r="K13" s="509" t="s">
        <v>1373</v>
      </c>
      <c r="L13" s="510">
        <v>5500000</v>
      </c>
      <c r="M13" s="509">
        <v>5500000</v>
      </c>
      <c r="N13" s="511">
        <f t="shared" si="3"/>
        <v>1</v>
      </c>
    </row>
    <row r="14" spans="1:14" ht="19.5" customHeight="1">
      <c r="A14" s="76">
        <v>4</v>
      </c>
      <c r="B14" s="77" t="s">
        <v>565</v>
      </c>
      <c r="C14" s="158">
        <f>L55/1000</f>
        <v>9633</v>
      </c>
      <c r="D14" s="158">
        <f>M55/1000</f>
        <v>9484</v>
      </c>
      <c r="E14" s="545">
        <f t="shared" si="2"/>
        <v>0.98453233675905738</v>
      </c>
      <c r="J14" s="506"/>
      <c r="K14" s="507" t="s">
        <v>1374</v>
      </c>
      <c r="L14" s="505">
        <f>SUM(L15:L15)</f>
        <v>4200000</v>
      </c>
      <c r="M14" s="505">
        <f>SUM(M15:M15)</f>
        <v>4100000</v>
      </c>
      <c r="N14" s="513">
        <f>SUM(N15:N15)</f>
        <v>0.97619047619047616</v>
      </c>
    </row>
    <row r="15" spans="1:14" ht="19.5" customHeight="1">
      <c r="A15" s="76">
        <v>5</v>
      </c>
      <c r="B15" s="77" t="s">
        <v>566</v>
      </c>
      <c r="C15" s="158">
        <f>L66/1000</f>
        <v>50000</v>
      </c>
      <c r="D15" s="158">
        <f>M66/1000</f>
        <v>50000</v>
      </c>
      <c r="E15" s="545">
        <f t="shared" si="2"/>
        <v>1</v>
      </c>
      <c r="J15" s="508"/>
      <c r="K15" s="509" t="s">
        <v>1375</v>
      </c>
      <c r="L15" s="512">
        <v>4200000</v>
      </c>
      <c r="M15" s="509">
        <v>4100000</v>
      </c>
      <c r="N15" s="511">
        <f t="shared" si="3"/>
        <v>0.97619047619047616</v>
      </c>
    </row>
    <row r="16" spans="1:14" ht="19.5" customHeight="1">
      <c r="A16" s="76">
        <v>6</v>
      </c>
      <c r="B16" s="77" t="s">
        <v>567</v>
      </c>
      <c r="C16" s="158">
        <f>L68/1000</f>
        <v>800</v>
      </c>
      <c r="D16" s="158">
        <f>M68/1000</f>
        <v>800</v>
      </c>
      <c r="E16" s="545">
        <f t="shared" si="2"/>
        <v>1</v>
      </c>
      <c r="J16" s="506"/>
      <c r="K16" s="514" t="s">
        <v>1376</v>
      </c>
      <c r="L16" s="505">
        <f>SUM(L17:L23)</f>
        <v>7120000</v>
      </c>
      <c r="M16" s="505">
        <f>SUM(M17:M23)</f>
        <v>7345000</v>
      </c>
      <c r="N16" s="502">
        <f t="shared" si="3"/>
        <v>1.0316011235955056</v>
      </c>
    </row>
    <row r="17" spans="1:14" ht="19.5" customHeight="1">
      <c r="A17" s="76">
        <v>7</v>
      </c>
      <c r="B17" s="77" t="s">
        <v>1369</v>
      </c>
      <c r="C17" s="158">
        <f>L9/1000+L71/1000+L75/1000</f>
        <v>219770</v>
      </c>
      <c r="D17" s="158">
        <f>M9/1000+M71/1000+M75/1000</f>
        <v>261436</v>
      </c>
      <c r="E17" s="545">
        <f t="shared" si="2"/>
        <v>1.1895891158938892</v>
      </c>
      <c r="J17" s="508">
        <v>1</v>
      </c>
      <c r="K17" s="509" t="s">
        <v>1377</v>
      </c>
      <c r="L17" s="515">
        <v>700000</v>
      </c>
      <c r="M17" s="515">
        <v>600000</v>
      </c>
      <c r="N17" s="511">
        <f t="shared" si="3"/>
        <v>0.8571428571428571</v>
      </c>
    </row>
    <row r="18" spans="1:14" ht="19.5" customHeight="1">
      <c r="A18" s="76">
        <v>8</v>
      </c>
      <c r="B18" s="77"/>
      <c r="C18" s="158"/>
      <c r="D18" s="158"/>
      <c r="E18" s="76"/>
      <c r="J18" s="508">
        <v>2</v>
      </c>
      <c r="K18" s="509" t="s">
        <v>1378</v>
      </c>
      <c r="L18" s="516">
        <v>1000000</v>
      </c>
      <c r="M18" s="517">
        <v>1200000</v>
      </c>
      <c r="N18" s="511">
        <f t="shared" si="3"/>
        <v>1.2</v>
      </c>
    </row>
    <row r="19" spans="1:14" ht="19.5" customHeight="1">
      <c r="A19" s="76">
        <v>9</v>
      </c>
      <c r="B19" s="77"/>
      <c r="C19" s="158"/>
      <c r="D19" s="158"/>
      <c r="E19" s="76"/>
      <c r="J19" s="508">
        <v>3</v>
      </c>
      <c r="K19" s="509" t="s">
        <v>1379</v>
      </c>
      <c r="L19" s="512">
        <v>4900000</v>
      </c>
      <c r="M19" s="509">
        <v>4900000</v>
      </c>
      <c r="N19" s="511">
        <f t="shared" si="3"/>
        <v>1</v>
      </c>
    </row>
    <row r="20" spans="1:14" ht="19.5" customHeight="1">
      <c r="A20" s="81"/>
      <c r="B20" s="92"/>
      <c r="C20" s="544"/>
      <c r="D20" s="544"/>
      <c r="E20" s="81"/>
      <c r="J20" s="508">
        <v>4</v>
      </c>
      <c r="K20" s="509" t="s">
        <v>1380</v>
      </c>
      <c r="L20" s="510">
        <v>170000</v>
      </c>
      <c r="M20" s="518">
        <v>98000</v>
      </c>
      <c r="N20" s="511">
        <f t="shared" si="3"/>
        <v>0.57647058823529407</v>
      </c>
    </row>
    <row r="21" spans="1:14" ht="15.75">
      <c r="J21" s="508">
        <v>5</v>
      </c>
      <c r="K21" s="509" t="s">
        <v>1381</v>
      </c>
      <c r="L21" s="512">
        <v>100000</v>
      </c>
      <c r="M21" s="509">
        <v>90000</v>
      </c>
      <c r="N21" s="511">
        <f t="shared" si="3"/>
        <v>0.9</v>
      </c>
    </row>
    <row r="22" spans="1:14" ht="15.75">
      <c r="J22" s="508">
        <v>6</v>
      </c>
      <c r="K22" s="509" t="s">
        <v>1382</v>
      </c>
      <c r="L22" s="512">
        <v>130000</v>
      </c>
      <c r="M22" s="509">
        <v>307000</v>
      </c>
      <c r="N22" s="511">
        <f t="shared" si="3"/>
        <v>2.3615384615384616</v>
      </c>
    </row>
    <row r="23" spans="1:14" ht="15.75">
      <c r="J23" s="508">
        <v>7</v>
      </c>
      <c r="K23" s="509" t="s">
        <v>1383</v>
      </c>
      <c r="L23" s="512">
        <v>120000</v>
      </c>
      <c r="M23" s="509">
        <v>150000</v>
      </c>
      <c r="N23" s="511">
        <f t="shared" si="3"/>
        <v>1.25</v>
      </c>
    </row>
    <row r="24" spans="1:14" ht="15.75">
      <c r="J24" s="506" t="s">
        <v>70</v>
      </c>
      <c r="K24" s="507" t="s">
        <v>1384</v>
      </c>
      <c r="L24" s="505">
        <f>(L25)</f>
        <v>44500000</v>
      </c>
      <c r="M24" s="505">
        <f t="shared" ref="M24" si="4">(M25)</f>
        <v>44500000</v>
      </c>
      <c r="N24" s="502">
        <f t="shared" si="3"/>
        <v>1</v>
      </c>
    </row>
    <row r="25" spans="1:14" ht="15.75">
      <c r="J25" s="506"/>
      <c r="K25" s="507" t="s">
        <v>1385</v>
      </c>
      <c r="L25" s="505">
        <f>SUM(L26:L26)</f>
        <v>44500000</v>
      </c>
      <c r="M25" s="505">
        <f>SUM(M26:M26)</f>
        <v>44500000</v>
      </c>
      <c r="N25" s="502">
        <f t="shared" si="3"/>
        <v>1</v>
      </c>
    </row>
    <row r="26" spans="1:14" ht="15.75">
      <c r="J26" s="508"/>
      <c r="K26" s="509" t="s">
        <v>1386</v>
      </c>
      <c r="L26" s="512">
        <v>44500000</v>
      </c>
      <c r="M26" s="509">
        <f>L26</f>
        <v>44500000</v>
      </c>
      <c r="N26" s="511">
        <f t="shared" si="3"/>
        <v>1</v>
      </c>
    </row>
    <row r="27" spans="1:14" ht="15.75">
      <c r="J27" s="506" t="s">
        <v>73</v>
      </c>
      <c r="K27" s="507" t="s">
        <v>1387</v>
      </c>
      <c r="L27" s="505">
        <f>SUM(L28:L37)</f>
        <v>22657000</v>
      </c>
      <c r="M27" s="505">
        <f>SUM(M28:M37)</f>
        <v>30085000</v>
      </c>
      <c r="N27" s="502">
        <f t="shared" si="3"/>
        <v>1.3278456989010019</v>
      </c>
    </row>
    <row r="28" spans="1:14" ht="15.75">
      <c r="J28" s="508">
        <v>1</v>
      </c>
      <c r="K28" s="509" t="s">
        <v>1388</v>
      </c>
      <c r="L28" s="519">
        <v>2507000</v>
      </c>
      <c r="M28" s="515">
        <v>1800000</v>
      </c>
      <c r="N28" s="511">
        <f t="shared" si="3"/>
        <v>0.71798962903869168</v>
      </c>
    </row>
    <row r="29" spans="1:14" ht="15.75">
      <c r="J29" s="508">
        <v>2</v>
      </c>
      <c r="K29" s="509" t="s">
        <v>1389</v>
      </c>
      <c r="L29" s="518">
        <v>800000</v>
      </c>
      <c r="M29" s="518">
        <v>2100000</v>
      </c>
      <c r="N29" s="511">
        <f t="shared" si="3"/>
        <v>2.625</v>
      </c>
    </row>
    <row r="30" spans="1:14" ht="15.75">
      <c r="J30" s="508">
        <v>3</v>
      </c>
      <c r="K30" s="509" t="s">
        <v>1390</v>
      </c>
      <c r="L30" s="518">
        <v>1700000</v>
      </c>
      <c r="M30" s="518">
        <v>1700000</v>
      </c>
      <c r="N30" s="511">
        <f t="shared" si="3"/>
        <v>1</v>
      </c>
    </row>
    <row r="31" spans="1:14" ht="15.75">
      <c r="J31" s="508">
        <v>4</v>
      </c>
      <c r="K31" s="509" t="s">
        <v>1391</v>
      </c>
      <c r="L31" s="518">
        <v>4300000</v>
      </c>
      <c r="M31" s="518">
        <v>6500000</v>
      </c>
      <c r="N31" s="511">
        <f t="shared" si="3"/>
        <v>1.5116279069767442</v>
      </c>
    </row>
    <row r="32" spans="1:14" ht="15.75">
      <c r="J32" s="508">
        <v>5</v>
      </c>
      <c r="K32" s="509" t="s">
        <v>1392</v>
      </c>
      <c r="L32" s="518">
        <v>1500000</v>
      </c>
      <c r="M32" s="518">
        <v>2500000</v>
      </c>
      <c r="N32" s="511">
        <f t="shared" si="3"/>
        <v>1.6666666666666667</v>
      </c>
    </row>
    <row r="33" spans="10:14" ht="15.75">
      <c r="J33" s="508">
        <v>6</v>
      </c>
      <c r="K33" s="509" t="s">
        <v>1393</v>
      </c>
      <c r="L33" s="520">
        <v>3500000</v>
      </c>
      <c r="M33" s="520">
        <v>5600000</v>
      </c>
      <c r="N33" s="511">
        <f t="shared" si="3"/>
        <v>1.6</v>
      </c>
    </row>
    <row r="34" spans="10:14" ht="15.75">
      <c r="J34" s="508">
        <v>7</v>
      </c>
      <c r="K34" s="509" t="s">
        <v>1394</v>
      </c>
      <c r="L34" s="512">
        <v>1050000</v>
      </c>
      <c r="M34" s="509">
        <v>780000</v>
      </c>
      <c r="N34" s="511">
        <f t="shared" si="3"/>
        <v>0.74285714285714288</v>
      </c>
    </row>
    <row r="35" spans="10:14" ht="15.75">
      <c r="J35" s="508">
        <v>8</v>
      </c>
      <c r="K35" s="509" t="s">
        <v>1395</v>
      </c>
      <c r="L35" s="512">
        <v>2000000</v>
      </c>
      <c r="M35" s="509">
        <v>1805000</v>
      </c>
      <c r="N35" s="511">
        <f t="shared" si="3"/>
        <v>0.90249999999999997</v>
      </c>
    </row>
    <row r="36" spans="10:14" ht="15.75">
      <c r="J36" s="508">
        <v>9</v>
      </c>
      <c r="K36" s="509" t="s">
        <v>1396</v>
      </c>
      <c r="L36" s="518">
        <v>2100000</v>
      </c>
      <c r="M36" s="518">
        <v>4100000</v>
      </c>
      <c r="N36" s="511">
        <f t="shared" si="3"/>
        <v>1.9523809523809523</v>
      </c>
    </row>
    <row r="37" spans="10:14" ht="15.75">
      <c r="J37" s="508">
        <v>10</v>
      </c>
      <c r="K37" s="509" t="s">
        <v>1026</v>
      </c>
      <c r="L37" s="518">
        <v>3200000</v>
      </c>
      <c r="M37" s="518">
        <v>3200000</v>
      </c>
      <c r="N37" s="511">
        <f t="shared" si="3"/>
        <v>1</v>
      </c>
    </row>
    <row r="38" spans="10:14" ht="15.75">
      <c r="J38" s="506" t="s">
        <v>77</v>
      </c>
      <c r="K38" s="507" t="s">
        <v>1397</v>
      </c>
      <c r="L38" s="507">
        <f>SUM(L39:L54)</f>
        <v>668503000</v>
      </c>
      <c r="M38" s="507">
        <f>SUM(M39:M54)</f>
        <v>827539000</v>
      </c>
      <c r="N38" s="502">
        <f t="shared" si="3"/>
        <v>1.2378987080087898</v>
      </c>
    </row>
    <row r="39" spans="10:14" ht="15.75">
      <c r="J39" s="508">
        <v>1</v>
      </c>
      <c r="K39" s="509" t="s">
        <v>1398</v>
      </c>
      <c r="L39" s="519">
        <f>1425000+350000</f>
        <v>1775000</v>
      </c>
      <c r="M39" s="515">
        <f>2000000+70000</f>
        <v>2070000</v>
      </c>
      <c r="N39" s="511">
        <f t="shared" si="3"/>
        <v>1.1661971830985915</v>
      </c>
    </row>
    <row r="40" spans="10:14" ht="15.75">
      <c r="J40" s="508">
        <v>2</v>
      </c>
      <c r="K40" s="509" t="s">
        <v>1399</v>
      </c>
      <c r="L40" s="519">
        <v>1855000</v>
      </c>
      <c r="M40" s="515">
        <v>668000</v>
      </c>
      <c r="N40" s="511">
        <f t="shared" si="3"/>
        <v>0.36010781671159031</v>
      </c>
    </row>
    <row r="41" spans="10:14" ht="15.75">
      <c r="J41" s="508">
        <v>3</v>
      </c>
      <c r="K41" s="509" t="s">
        <v>1400</v>
      </c>
      <c r="L41" s="519">
        <v>50000</v>
      </c>
      <c r="M41" s="515">
        <v>50000</v>
      </c>
      <c r="N41" s="511">
        <f t="shared" si="3"/>
        <v>1</v>
      </c>
    </row>
    <row r="42" spans="10:14" ht="15.75">
      <c r="J42" s="508">
        <v>4</v>
      </c>
      <c r="K42" s="509" t="s">
        <v>1401</v>
      </c>
      <c r="L42" s="521">
        <v>8800000</v>
      </c>
      <c r="M42" s="515">
        <v>6000000</v>
      </c>
      <c r="N42" s="511">
        <f t="shared" si="3"/>
        <v>0.68181818181818177</v>
      </c>
    </row>
    <row r="43" spans="10:14" ht="15.75">
      <c r="J43" s="508">
        <v>5</v>
      </c>
      <c r="K43" s="509" t="s">
        <v>1402</v>
      </c>
      <c r="L43" s="519">
        <v>25000</v>
      </c>
      <c r="M43" s="515">
        <v>20000</v>
      </c>
      <c r="N43" s="511">
        <f t="shared" si="3"/>
        <v>0.8</v>
      </c>
    </row>
    <row r="44" spans="10:14" ht="15.75">
      <c r="J44" s="508">
        <v>6</v>
      </c>
      <c r="K44" s="509" t="s">
        <v>1403</v>
      </c>
      <c r="L44" s="519">
        <v>5074000</v>
      </c>
      <c r="M44" s="515">
        <v>6324000</v>
      </c>
      <c r="N44" s="511">
        <f t="shared" si="3"/>
        <v>1.246353961371699</v>
      </c>
    </row>
    <row r="45" spans="10:14" ht="15.75">
      <c r="J45" s="508">
        <v>7</v>
      </c>
      <c r="K45" s="509" t="s">
        <v>1404</v>
      </c>
      <c r="L45" s="519">
        <f>2620000+203499000</f>
        <v>206119000</v>
      </c>
      <c r="M45" s="515">
        <f>2327000+269525000</f>
        <v>271852000</v>
      </c>
      <c r="N45" s="511">
        <f t="shared" si="3"/>
        <v>1.3189080094508512</v>
      </c>
    </row>
    <row r="46" spans="10:14" ht="15.75">
      <c r="J46" s="508">
        <v>8</v>
      </c>
      <c r="K46" s="509" t="s">
        <v>1405</v>
      </c>
      <c r="L46" s="521">
        <v>14264000</v>
      </c>
      <c r="M46" s="515">
        <v>32105000</v>
      </c>
      <c r="N46" s="511">
        <f t="shared" si="3"/>
        <v>2.2507711721817163</v>
      </c>
    </row>
    <row r="47" spans="10:14" ht="15.75">
      <c r="J47" s="508">
        <v>9</v>
      </c>
      <c r="K47" s="509" t="s">
        <v>1406</v>
      </c>
      <c r="L47" s="519">
        <v>13206000</v>
      </c>
      <c r="M47" s="515">
        <v>20750000</v>
      </c>
      <c r="N47" s="511">
        <f t="shared" si="3"/>
        <v>1.5712554899288202</v>
      </c>
    </row>
    <row r="48" spans="10:14" ht="15.75">
      <c r="J48" s="508">
        <v>10</v>
      </c>
      <c r="K48" s="509" t="s">
        <v>1407</v>
      </c>
      <c r="L48" s="519">
        <v>280805000</v>
      </c>
      <c r="M48" s="515">
        <v>317000000</v>
      </c>
      <c r="N48" s="511">
        <f t="shared" si="3"/>
        <v>1.1288972774701305</v>
      </c>
    </row>
    <row r="49" spans="10:14" ht="15.75">
      <c r="J49" s="508">
        <v>11</v>
      </c>
      <c r="K49" s="509" t="s">
        <v>1408</v>
      </c>
      <c r="L49" s="519">
        <v>3600000</v>
      </c>
      <c r="M49" s="515">
        <v>8000000</v>
      </c>
      <c r="N49" s="511">
        <f t="shared" si="3"/>
        <v>2.2222222222222223</v>
      </c>
    </row>
    <row r="50" spans="10:14" ht="15.75">
      <c r="J50" s="508">
        <v>12</v>
      </c>
      <c r="K50" s="509" t="s">
        <v>1409</v>
      </c>
      <c r="L50" s="519">
        <v>1700000</v>
      </c>
      <c r="M50" s="515">
        <v>1700000</v>
      </c>
      <c r="N50" s="511">
        <f t="shared" si="3"/>
        <v>1</v>
      </c>
    </row>
    <row r="51" spans="10:14" ht="15.75">
      <c r="J51" s="508">
        <v>13</v>
      </c>
      <c r="K51" s="509" t="s">
        <v>1410</v>
      </c>
      <c r="L51" s="521">
        <v>13890000</v>
      </c>
      <c r="M51" s="515">
        <v>9000000</v>
      </c>
      <c r="N51" s="511">
        <f t="shared" si="3"/>
        <v>0.64794816414686829</v>
      </c>
    </row>
    <row r="52" spans="10:14" ht="15.75">
      <c r="J52" s="508">
        <v>14</v>
      </c>
      <c r="K52" s="509" t="s">
        <v>1411</v>
      </c>
      <c r="L52" s="519">
        <v>47833000</v>
      </c>
      <c r="M52" s="515">
        <v>66000000</v>
      </c>
      <c r="N52" s="511">
        <f t="shared" si="3"/>
        <v>1.3798005561014361</v>
      </c>
    </row>
    <row r="53" spans="10:14" ht="15.75">
      <c r="J53" s="508">
        <v>15</v>
      </c>
      <c r="K53" s="509" t="s">
        <v>1412</v>
      </c>
      <c r="L53" s="519">
        <v>24178000</v>
      </c>
      <c r="M53" s="515">
        <v>35000000</v>
      </c>
      <c r="N53" s="511">
        <f t="shared" si="3"/>
        <v>1.4475969889982629</v>
      </c>
    </row>
    <row r="54" spans="10:14" ht="15.75">
      <c r="J54" s="508">
        <v>16</v>
      </c>
      <c r="K54" s="509" t="s">
        <v>1413</v>
      </c>
      <c r="L54" s="519">
        <v>45329000</v>
      </c>
      <c r="M54" s="515">
        <v>51000000</v>
      </c>
      <c r="N54" s="511">
        <f t="shared" si="3"/>
        <v>1.1251075470449381</v>
      </c>
    </row>
    <row r="55" spans="10:14" ht="15.75">
      <c r="J55" s="506" t="s">
        <v>113</v>
      </c>
      <c r="K55" s="507" t="s">
        <v>1414</v>
      </c>
      <c r="L55" s="505">
        <f>SUM(L56:L65)</f>
        <v>9633000</v>
      </c>
      <c r="M55" s="505">
        <f>SUM(M56:M65)</f>
        <v>9484000</v>
      </c>
      <c r="N55" s="502">
        <f t="shared" si="3"/>
        <v>0.98453233675905738</v>
      </c>
    </row>
    <row r="56" spans="10:14" ht="15.75">
      <c r="J56" s="508">
        <v>1</v>
      </c>
      <c r="K56" s="509" t="s">
        <v>1415</v>
      </c>
      <c r="L56" s="512">
        <v>3000</v>
      </c>
      <c r="M56" s="509">
        <v>3000</v>
      </c>
      <c r="N56" s="511">
        <f t="shared" si="3"/>
        <v>1</v>
      </c>
    </row>
    <row r="57" spans="10:14" ht="15.75">
      <c r="J57" s="508">
        <v>2</v>
      </c>
      <c r="K57" s="509" t="s">
        <v>1416</v>
      </c>
      <c r="L57" s="512">
        <v>30000</v>
      </c>
      <c r="M57" s="509">
        <v>31000</v>
      </c>
      <c r="N57" s="511">
        <f t="shared" si="3"/>
        <v>1.0333333333333334</v>
      </c>
    </row>
    <row r="58" spans="10:14" ht="16.5">
      <c r="J58" s="508">
        <v>3</v>
      </c>
      <c r="K58" s="509" t="s">
        <v>1417</v>
      </c>
      <c r="L58" s="512">
        <v>300000</v>
      </c>
      <c r="M58" s="522">
        <v>300000</v>
      </c>
      <c r="N58" s="511">
        <f t="shared" si="3"/>
        <v>1</v>
      </c>
    </row>
    <row r="59" spans="10:14" ht="15.75">
      <c r="J59" s="508">
        <v>4</v>
      </c>
      <c r="K59" s="509" t="s">
        <v>1418</v>
      </c>
      <c r="L59" s="512">
        <v>500000</v>
      </c>
      <c r="M59" s="509">
        <v>500000</v>
      </c>
      <c r="N59" s="511">
        <f t="shared" si="3"/>
        <v>1</v>
      </c>
    </row>
    <row r="60" spans="10:14" ht="15.75">
      <c r="J60" s="508">
        <v>5</v>
      </c>
      <c r="K60" s="509" t="s">
        <v>1419</v>
      </c>
      <c r="L60" s="512">
        <v>2000000</v>
      </c>
      <c r="M60" s="509">
        <v>2000000</v>
      </c>
      <c r="N60" s="511">
        <f t="shared" si="3"/>
        <v>1</v>
      </c>
    </row>
    <row r="61" spans="10:14" ht="15.75">
      <c r="J61" s="508">
        <v>6</v>
      </c>
      <c r="K61" s="509" t="s">
        <v>1420</v>
      </c>
      <c r="L61" s="512">
        <v>1200000</v>
      </c>
      <c r="M61" s="509">
        <v>1200000</v>
      </c>
      <c r="N61" s="511">
        <f t="shared" si="3"/>
        <v>1</v>
      </c>
    </row>
    <row r="62" spans="10:14" ht="15.75">
      <c r="J62" s="508">
        <v>7</v>
      </c>
      <c r="K62" s="509" t="s">
        <v>1421</v>
      </c>
      <c r="L62" s="512">
        <v>4500000</v>
      </c>
      <c r="M62" s="509">
        <v>4500000</v>
      </c>
      <c r="N62" s="511">
        <f t="shared" si="3"/>
        <v>1</v>
      </c>
    </row>
    <row r="63" spans="10:14" ht="15.75">
      <c r="J63" s="508">
        <v>8</v>
      </c>
      <c r="K63" s="509" t="s">
        <v>1422</v>
      </c>
      <c r="L63" s="512">
        <v>200000</v>
      </c>
      <c r="M63" s="509">
        <v>50000</v>
      </c>
      <c r="N63" s="511">
        <f t="shared" si="3"/>
        <v>0.25</v>
      </c>
    </row>
    <row r="64" spans="10:14" ht="15.75">
      <c r="J64" s="508">
        <v>9</v>
      </c>
      <c r="K64" s="509" t="s">
        <v>1423</v>
      </c>
      <c r="L64" s="512">
        <v>600000</v>
      </c>
      <c r="M64" s="509">
        <v>600000</v>
      </c>
      <c r="N64" s="511">
        <f t="shared" si="3"/>
        <v>1</v>
      </c>
    </row>
    <row r="65" spans="10:14" ht="15.75">
      <c r="J65" s="508">
        <v>10</v>
      </c>
      <c r="K65" s="509" t="s">
        <v>1424</v>
      </c>
      <c r="L65" s="512">
        <v>300000</v>
      </c>
      <c r="M65" s="509">
        <v>300000</v>
      </c>
      <c r="N65" s="511">
        <f t="shared" si="3"/>
        <v>1</v>
      </c>
    </row>
    <row r="66" spans="10:14" ht="15.75">
      <c r="J66" s="506" t="s">
        <v>396</v>
      </c>
      <c r="K66" s="507" t="s">
        <v>1425</v>
      </c>
      <c r="L66" s="505">
        <f t="shared" ref="L66:N66" si="5">L67</f>
        <v>50000000</v>
      </c>
      <c r="M66" s="505">
        <f t="shared" si="5"/>
        <v>50000000</v>
      </c>
      <c r="N66" s="513">
        <f t="shared" si="5"/>
        <v>1</v>
      </c>
    </row>
    <row r="67" spans="10:14" ht="15.75">
      <c r="J67" s="508">
        <v>1</v>
      </c>
      <c r="K67" s="509" t="s">
        <v>1426</v>
      </c>
      <c r="L67" s="516">
        <v>50000000</v>
      </c>
      <c r="M67" s="517">
        <v>50000000</v>
      </c>
      <c r="N67" s="511">
        <f t="shared" ref="N67" si="6">M67/L67</f>
        <v>1</v>
      </c>
    </row>
    <row r="68" spans="10:14" ht="15.75">
      <c r="J68" s="506" t="s">
        <v>590</v>
      </c>
      <c r="K68" s="507" t="s">
        <v>1427</v>
      </c>
      <c r="L68" s="505">
        <f>SUM(L69:L69)</f>
        <v>800000</v>
      </c>
      <c r="M68" s="505">
        <f>SUM(M69:M69)</f>
        <v>800000</v>
      </c>
      <c r="N68" s="513">
        <f>SUM(N69:N69)</f>
        <v>1</v>
      </c>
    </row>
    <row r="69" spans="10:14" ht="15.75">
      <c r="J69" s="508">
        <v>1</v>
      </c>
      <c r="K69" s="509" t="s">
        <v>1428</v>
      </c>
      <c r="L69" s="512">
        <v>800000</v>
      </c>
      <c r="M69" s="509">
        <v>800000</v>
      </c>
      <c r="N69" s="511">
        <f t="shared" ref="N69:N97" si="7">M69/L69</f>
        <v>1</v>
      </c>
    </row>
    <row r="70" spans="10:14" ht="15.75">
      <c r="J70" s="506" t="s">
        <v>89</v>
      </c>
      <c r="K70" s="507" t="s">
        <v>1429</v>
      </c>
      <c r="L70" s="505">
        <f>(L71+L75+L95)</f>
        <v>187650000</v>
      </c>
      <c r="M70" s="505">
        <f>(M71+M75+M95)</f>
        <v>234715000</v>
      </c>
      <c r="N70" s="502">
        <f t="shared" si="7"/>
        <v>1.2508126831867838</v>
      </c>
    </row>
    <row r="71" spans="10:14" ht="15.75">
      <c r="J71" s="523"/>
      <c r="K71" s="524" t="s">
        <v>1430</v>
      </c>
      <c r="L71" s="505">
        <f>SUM(L72:L74)</f>
        <v>44200000</v>
      </c>
      <c r="M71" s="505">
        <f>SUM(M72:M74)</f>
        <v>45000000</v>
      </c>
      <c r="N71" s="502">
        <f t="shared" si="7"/>
        <v>1.0180995475113122</v>
      </c>
    </row>
    <row r="72" spans="10:14" ht="15.75">
      <c r="J72" s="525">
        <v>1</v>
      </c>
      <c r="K72" s="526" t="s">
        <v>1431</v>
      </c>
      <c r="L72" s="512">
        <v>24000000</v>
      </c>
      <c r="M72" s="509">
        <v>22000000</v>
      </c>
      <c r="N72" s="511">
        <f t="shared" si="7"/>
        <v>0.91666666666666663</v>
      </c>
    </row>
    <row r="73" spans="10:14" ht="15.75">
      <c r="J73" s="508">
        <v>2</v>
      </c>
      <c r="K73" s="509" t="s">
        <v>1432</v>
      </c>
      <c r="L73" s="512">
        <v>14500000</v>
      </c>
      <c r="M73" s="527">
        <v>14000000</v>
      </c>
      <c r="N73" s="511">
        <f t="shared" si="7"/>
        <v>0.96551724137931039</v>
      </c>
    </row>
    <row r="74" spans="10:14" ht="15.75">
      <c r="J74" s="525">
        <v>3</v>
      </c>
      <c r="K74" s="509" t="s">
        <v>1433</v>
      </c>
      <c r="L74" s="512">
        <v>5700000</v>
      </c>
      <c r="M74" s="527">
        <v>9000000</v>
      </c>
      <c r="N74" s="511">
        <f t="shared" si="7"/>
        <v>1.5789473684210527</v>
      </c>
    </row>
    <row r="75" spans="10:14" ht="15.75">
      <c r="J75" s="523"/>
      <c r="K75" s="524" t="s">
        <v>1434</v>
      </c>
      <c r="L75" s="505">
        <f>SUM(L76:L94)</f>
        <v>137450000</v>
      </c>
      <c r="M75" s="505">
        <f>SUM(M76:M94)</f>
        <v>186191000</v>
      </c>
      <c r="N75" s="502">
        <f t="shared" si="7"/>
        <v>1.3546089487086213</v>
      </c>
    </row>
    <row r="76" spans="10:14" ht="15.75">
      <c r="J76" s="528">
        <v>3</v>
      </c>
      <c r="K76" s="529" t="s">
        <v>1435</v>
      </c>
      <c r="L76" s="519">
        <v>4000000</v>
      </c>
      <c r="M76" s="530">
        <f>L76</f>
        <v>4000000</v>
      </c>
      <c r="N76" s="511">
        <f t="shared" si="7"/>
        <v>1</v>
      </c>
    </row>
    <row r="77" spans="10:14" ht="15.75">
      <c r="J77" s="528">
        <v>4</v>
      </c>
      <c r="K77" s="529" t="s">
        <v>1436</v>
      </c>
      <c r="L77" s="519">
        <v>1700000</v>
      </c>
      <c r="M77" s="530">
        <v>2800000</v>
      </c>
      <c r="N77" s="511">
        <f t="shared" si="7"/>
        <v>1.6470588235294117</v>
      </c>
    </row>
    <row r="78" spans="10:14" ht="15.75">
      <c r="J78" s="528">
        <v>5</v>
      </c>
      <c r="K78" s="529" t="s">
        <v>1437</v>
      </c>
      <c r="L78" s="519">
        <v>1300000</v>
      </c>
      <c r="M78" s="530">
        <v>1300000</v>
      </c>
      <c r="N78" s="511">
        <f t="shared" si="7"/>
        <v>1</v>
      </c>
    </row>
    <row r="79" spans="10:14" ht="15.75">
      <c r="J79" s="528">
        <v>6</v>
      </c>
      <c r="K79" s="529" t="s">
        <v>1438</v>
      </c>
      <c r="L79" s="519">
        <v>3000000</v>
      </c>
      <c r="M79" s="530">
        <v>3000000</v>
      </c>
      <c r="N79" s="511">
        <f t="shared" si="7"/>
        <v>1</v>
      </c>
    </row>
    <row r="80" spans="10:14" ht="15.75">
      <c r="J80" s="528">
        <v>7</v>
      </c>
      <c r="K80" s="526" t="s">
        <v>1439</v>
      </c>
      <c r="L80" s="510">
        <v>4500000</v>
      </c>
      <c r="M80" s="531">
        <v>4500000</v>
      </c>
      <c r="N80" s="511">
        <f t="shared" si="7"/>
        <v>1</v>
      </c>
    </row>
    <row r="81" spans="10:14" ht="15.75">
      <c r="J81" s="528">
        <v>8</v>
      </c>
      <c r="K81" s="526" t="s">
        <v>1440</v>
      </c>
      <c r="L81" s="510">
        <v>3700000</v>
      </c>
      <c r="M81" s="531">
        <v>4926000</v>
      </c>
      <c r="N81" s="511">
        <f t="shared" si="7"/>
        <v>1.3313513513513513</v>
      </c>
    </row>
    <row r="82" spans="10:14" ht="15.75">
      <c r="J82" s="528">
        <v>9</v>
      </c>
      <c r="K82" s="526" t="s">
        <v>1441</v>
      </c>
      <c r="L82" s="532">
        <v>7800000</v>
      </c>
      <c r="M82" s="533">
        <v>7804000</v>
      </c>
      <c r="N82" s="511">
        <f t="shared" si="7"/>
        <v>1.0005128205128204</v>
      </c>
    </row>
    <row r="83" spans="10:14" ht="15.75">
      <c r="J83" s="528">
        <v>10</v>
      </c>
      <c r="K83" s="526" t="s">
        <v>1442</v>
      </c>
      <c r="L83" s="512">
        <v>4450000</v>
      </c>
      <c r="M83" s="527">
        <v>9000000</v>
      </c>
      <c r="N83" s="511">
        <f t="shared" si="7"/>
        <v>2.0224719101123596</v>
      </c>
    </row>
    <row r="84" spans="10:14" ht="15.75">
      <c r="J84" s="528">
        <v>11</v>
      </c>
      <c r="K84" s="526" t="s">
        <v>1443</v>
      </c>
      <c r="L84" s="512">
        <v>1000000</v>
      </c>
      <c r="M84" s="527">
        <v>1362000</v>
      </c>
      <c r="N84" s="511">
        <f t="shared" si="7"/>
        <v>1.3620000000000001</v>
      </c>
    </row>
    <row r="85" spans="10:14" ht="15.75">
      <c r="J85" s="528">
        <v>12</v>
      </c>
      <c r="K85" s="526" t="s">
        <v>1444</v>
      </c>
      <c r="L85" s="512">
        <v>5000000</v>
      </c>
      <c r="M85" s="527">
        <v>4850000</v>
      </c>
      <c r="N85" s="511">
        <f t="shared" si="7"/>
        <v>0.97</v>
      </c>
    </row>
    <row r="86" spans="10:14" ht="15.75">
      <c r="J86" s="528">
        <v>13</v>
      </c>
      <c r="K86" s="534" t="s">
        <v>1445</v>
      </c>
      <c r="L86" s="532">
        <v>5500000</v>
      </c>
      <c r="M86" s="533">
        <v>8250000</v>
      </c>
      <c r="N86" s="511">
        <f t="shared" si="7"/>
        <v>1.5</v>
      </c>
    </row>
    <row r="87" spans="10:14" ht="15.75">
      <c r="J87" s="528">
        <v>14</v>
      </c>
      <c r="K87" s="526" t="s">
        <v>1446</v>
      </c>
      <c r="L87" s="512">
        <v>2500000</v>
      </c>
      <c r="M87" s="527">
        <v>3950000</v>
      </c>
      <c r="N87" s="511">
        <f t="shared" si="7"/>
        <v>1.58</v>
      </c>
    </row>
    <row r="88" spans="10:14" ht="15.75">
      <c r="J88" s="528">
        <v>15</v>
      </c>
      <c r="K88" s="526" t="s">
        <v>1447</v>
      </c>
      <c r="L88" s="510">
        <v>8500000</v>
      </c>
      <c r="M88" s="527">
        <v>9000000</v>
      </c>
      <c r="N88" s="511">
        <f t="shared" si="7"/>
        <v>1.0588235294117647</v>
      </c>
    </row>
    <row r="89" spans="10:14" ht="15.75">
      <c r="J89" s="528">
        <v>16</v>
      </c>
      <c r="K89" s="526" t="s">
        <v>1448</v>
      </c>
      <c r="L89" s="510">
        <v>4200000</v>
      </c>
      <c r="M89" s="527">
        <v>5000000</v>
      </c>
      <c r="N89" s="511">
        <f t="shared" si="7"/>
        <v>1.1904761904761905</v>
      </c>
    </row>
    <row r="90" spans="10:14" ht="15.75">
      <c r="J90" s="528">
        <v>17</v>
      </c>
      <c r="K90" s="526" t="s">
        <v>1449</v>
      </c>
      <c r="L90" s="510">
        <v>11000000</v>
      </c>
      <c r="M90" s="527">
        <v>11000000</v>
      </c>
      <c r="N90" s="511">
        <f t="shared" si="7"/>
        <v>1</v>
      </c>
    </row>
    <row r="91" spans="10:14" ht="15.75">
      <c r="J91" s="528">
        <v>18</v>
      </c>
      <c r="K91" s="526" t="s">
        <v>1450</v>
      </c>
      <c r="L91" s="510">
        <v>38000000</v>
      </c>
      <c r="M91" s="527">
        <v>74313000</v>
      </c>
      <c r="N91" s="511">
        <f t="shared" si="7"/>
        <v>1.9556052631578948</v>
      </c>
    </row>
    <row r="92" spans="10:14" ht="15.75">
      <c r="J92" s="528">
        <v>19</v>
      </c>
      <c r="K92" s="526" t="s">
        <v>1451</v>
      </c>
      <c r="L92" s="510">
        <v>13500000</v>
      </c>
      <c r="M92" s="531">
        <v>13436000</v>
      </c>
      <c r="N92" s="511">
        <f t="shared" si="7"/>
        <v>0.99525925925925929</v>
      </c>
    </row>
    <row r="93" spans="10:14" ht="15.75">
      <c r="J93" s="528">
        <v>20</v>
      </c>
      <c r="K93" s="526" t="s">
        <v>1452</v>
      </c>
      <c r="L93" s="512">
        <v>3800000</v>
      </c>
      <c r="M93" s="527">
        <f>L93</f>
        <v>3800000</v>
      </c>
      <c r="N93" s="511">
        <f t="shared" si="7"/>
        <v>1</v>
      </c>
    </row>
    <row r="94" spans="10:14" ht="15.75">
      <c r="J94" s="528">
        <v>21</v>
      </c>
      <c r="K94" s="534" t="s">
        <v>1453</v>
      </c>
      <c r="L94" s="512">
        <v>14000000</v>
      </c>
      <c r="M94" s="527">
        <v>13900000</v>
      </c>
      <c r="N94" s="511">
        <f t="shared" si="7"/>
        <v>0.99285714285714288</v>
      </c>
    </row>
    <row r="95" spans="10:14" ht="15.75">
      <c r="J95" s="535"/>
      <c r="K95" s="536" t="s">
        <v>1454</v>
      </c>
      <c r="L95" s="537">
        <f>L96+L97</f>
        <v>6000000</v>
      </c>
      <c r="M95" s="537">
        <f t="shared" ref="M95" si="8">M96+M97</f>
        <v>3524000</v>
      </c>
      <c r="N95" s="502">
        <f t="shared" si="7"/>
        <v>0.58733333333333337</v>
      </c>
    </row>
    <row r="96" spans="10:14" ht="15.75">
      <c r="J96" s="538">
        <v>22</v>
      </c>
      <c r="K96" s="539" t="s">
        <v>1455</v>
      </c>
      <c r="L96" s="540">
        <v>2500000</v>
      </c>
      <c r="M96" s="527">
        <v>1600000</v>
      </c>
      <c r="N96" s="511">
        <f t="shared" si="7"/>
        <v>0.64</v>
      </c>
    </row>
    <row r="97" spans="10:14" ht="15.75">
      <c r="J97" s="508">
        <v>23</v>
      </c>
      <c r="K97" s="509" t="s">
        <v>1456</v>
      </c>
      <c r="L97" s="512">
        <v>3500000</v>
      </c>
      <c r="M97" s="527">
        <v>1924000</v>
      </c>
      <c r="N97" s="511">
        <f t="shared" si="7"/>
        <v>0.54971428571428571</v>
      </c>
    </row>
    <row r="98" spans="10:14" ht="15.75">
      <c r="J98" s="541"/>
      <c r="K98" s="527"/>
      <c r="L98" s="527"/>
      <c r="M98" s="527"/>
      <c r="N98" s="527"/>
    </row>
    <row r="99" spans="10:14">
      <c r="J99" s="542"/>
      <c r="K99" s="542"/>
      <c r="L99" s="542"/>
      <c r="M99" s="542"/>
      <c r="N99" s="542"/>
    </row>
  </sheetData>
  <customSheetViews>
    <customSheetView guid="{9F606621-8853-4836-9A7E-DBA5CF152671}" showPageBreaks="1">
      <selection activeCell="B17" sqref="B17"/>
      <pageMargins left="0.7" right="0.7" top="0.75" bottom="0.75" header="0.3" footer="0.3"/>
      <pageSetup orientation="portrait" r:id="rId1"/>
    </customSheetView>
    <customSheetView guid="{DB9039ED-C6EA-422D-9A5D-D152D95EDC67}" scale="85" showPageBreaks="1" printArea="1" hiddenRows="1">
      <pane xSplit="2" ySplit="7" topLeftCell="C8" activePane="bottomRight" state="frozen"/>
      <selection pane="bottomRight" activeCell="B17" sqref="B17"/>
      <pageMargins left="0.7" right="0.7" top="0.75" bottom="0.75" header="0.3" footer="0.3"/>
      <pageSetup orientation="portrait" r:id="rId2"/>
    </customSheetView>
  </customSheetViews>
  <mergeCells count="3">
    <mergeCell ref="A2:E2"/>
    <mergeCell ref="A3:E3"/>
    <mergeCell ref="A4:E4"/>
  </mergeCell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dimension ref="A1:W31"/>
  <sheetViews>
    <sheetView workbookViewId="0">
      <selection activeCell="O11" sqref="O11"/>
    </sheetView>
  </sheetViews>
  <sheetFormatPr defaultRowHeight="15"/>
  <cols>
    <col min="1" max="1" width="6.28515625" customWidth="1"/>
    <col min="2" max="2" width="24.42578125" customWidth="1"/>
    <col min="3" max="3" width="11.42578125" customWidth="1"/>
    <col min="4" max="4" width="10.5703125" customWidth="1"/>
    <col min="5" max="5" width="10.28515625" customWidth="1"/>
    <col min="6" max="6" width="10.7109375" customWidth="1"/>
    <col min="7" max="7" width="12.140625" customWidth="1"/>
    <col min="9" max="9" width="11.140625" customWidth="1"/>
    <col min="10" max="10" width="10.42578125" customWidth="1"/>
    <col min="11" max="14" width="9.5703125" customWidth="1"/>
    <col min="16" max="16" width="12.140625" bestFit="1" customWidth="1"/>
  </cols>
  <sheetData>
    <row r="1" spans="1:23" ht="15.75">
      <c r="N1" s="26" t="s">
        <v>574</v>
      </c>
    </row>
    <row r="2" spans="1:23" ht="15.75">
      <c r="A2" s="781" t="s">
        <v>846</v>
      </c>
      <c r="B2" s="781"/>
      <c r="C2" s="781"/>
      <c r="D2" s="781"/>
      <c r="E2" s="781"/>
      <c r="F2" s="781"/>
      <c r="G2" s="781"/>
      <c r="H2" s="781"/>
      <c r="I2" s="781"/>
      <c r="J2" s="781"/>
      <c r="K2" s="781"/>
      <c r="L2" s="781"/>
      <c r="M2" s="781"/>
      <c r="N2" s="781"/>
    </row>
    <row r="3" spans="1:23" ht="15.75">
      <c r="A3" s="781"/>
      <c r="B3" s="781"/>
      <c r="C3" s="781"/>
      <c r="D3" s="781"/>
      <c r="E3" s="781"/>
      <c r="F3" s="781"/>
      <c r="G3" s="781"/>
      <c r="H3" s="781"/>
      <c r="I3" s="781"/>
      <c r="J3" s="781"/>
      <c r="K3" s="781"/>
      <c r="L3" s="781"/>
      <c r="M3" s="781"/>
      <c r="N3" s="781"/>
    </row>
    <row r="4" spans="1:23" ht="15.75">
      <c r="N4" s="27" t="s">
        <v>56</v>
      </c>
    </row>
    <row r="5" spans="1:23" ht="15.75">
      <c r="A5" s="773" t="s">
        <v>3</v>
      </c>
      <c r="B5" s="773" t="s">
        <v>467</v>
      </c>
      <c r="C5" s="773" t="s">
        <v>797</v>
      </c>
      <c r="D5" s="773"/>
      <c r="E5" s="773"/>
      <c r="F5" s="773"/>
      <c r="G5" s="773" t="s">
        <v>820</v>
      </c>
      <c r="H5" s="773"/>
      <c r="I5" s="773"/>
      <c r="J5" s="773"/>
      <c r="K5" s="773" t="s">
        <v>346</v>
      </c>
      <c r="L5" s="773"/>
      <c r="M5" s="773"/>
      <c r="N5" s="773"/>
    </row>
    <row r="6" spans="1:23" ht="15.75" customHeight="1">
      <c r="A6" s="773"/>
      <c r="B6" s="773"/>
      <c r="C6" s="773" t="s">
        <v>65</v>
      </c>
      <c r="D6" s="773" t="s">
        <v>162</v>
      </c>
      <c r="E6" s="773"/>
      <c r="F6" s="773"/>
      <c r="G6" s="773" t="s">
        <v>65</v>
      </c>
      <c r="H6" s="773" t="s">
        <v>162</v>
      </c>
      <c r="I6" s="773"/>
      <c r="J6" s="773"/>
      <c r="K6" s="773" t="s">
        <v>65</v>
      </c>
      <c r="L6" s="773" t="s">
        <v>162</v>
      </c>
      <c r="M6" s="773"/>
      <c r="N6" s="773"/>
    </row>
    <row r="7" spans="1:23" ht="63">
      <c r="A7" s="773"/>
      <c r="B7" s="773"/>
      <c r="C7" s="773"/>
      <c r="D7" s="228" t="s">
        <v>931</v>
      </c>
      <c r="E7" s="228" t="s">
        <v>1070</v>
      </c>
      <c r="F7" s="229" t="s">
        <v>1077</v>
      </c>
      <c r="G7" s="773"/>
      <c r="H7" s="228" t="s">
        <v>931</v>
      </c>
      <c r="I7" s="228" t="s">
        <v>1070</v>
      </c>
      <c r="J7" s="229" t="s">
        <v>1077</v>
      </c>
      <c r="K7" s="773"/>
      <c r="L7" s="228" t="s">
        <v>931</v>
      </c>
      <c r="M7" s="228" t="s">
        <v>1070</v>
      </c>
      <c r="N7" s="229" t="s">
        <v>1077</v>
      </c>
      <c r="P7" s="255" t="s">
        <v>1105</v>
      </c>
    </row>
    <row r="8" spans="1:23" ht="15.75">
      <c r="A8" s="30" t="s">
        <v>15</v>
      </c>
      <c r="B8" s="30" t="s">
        <v>16</v>
      </c>
      <c r="C8" s="30">
        <v>1</v>
      </c>
      <c r="D8" s="30">
        <v>2</v>
      </c>
      <c r="E8" s="30">
        <v>3</v>
      </c>
      <c r="F8" s="30">
        <v>4</v>
      </c>
      <c r="G8" s="30">
        <v>5</v>
      </c>
      <c r="H8" s="30">
        <v>6</v>
      </c>
      <c r="I8" s="30">
        <v>7</v>
      </c>
      <c r="J8" s="30">
        <v>8</v>
      </c>
      <c r="K8" s="30" t="s">
        <v>469</v>
      </c>
      <c r="L8" s="30" t="s">
        <v>470</v>
      </c>
      <c r="M8" s="30" t="s">
        <v>471</v>
      </c>
      <c r="N8" s="30" t="s">
        <v>472</v>
      </c>
    </row>
    <row r="9" spans="1:23" s="101" customFormat="1" ht="15.75">
      <c r="A9" s="55"/>
      <c r="B9" s="56" t="s">
        <v>473</v>
      </c>
      <c r="C9" s="190" t="e">
        <f>SUM(C10:C25)</f>
        <v>#REF!</v>
      </c>
      <c r="D9" s="190" t="e">
        <f t="shared" ref="D9:J9" si="0">SUM(D10:D25)</f>
        <v>#REF!</v>
      </c>
      <c r="E9" s="190" t="e">
        <f t="shared" si="0"/>
        <v>#REF!</v>
      </c>
      <c r="F9" s="190" t="e">
        <f t="shared" si="0"/>
        <v>#REF!</v>
      </c>
      <c r="G9" s="190" t="e">
        <f t="shared" si="0"/>
        <v>#REF!</v>
      </c>
      <c r="H9" s="190" t="e">
        <f t="shared" si="0"/>
        <v>#REF!</v>
      </c>
      <c r="I9" s="190" t="e">
        <f t="shared" si="0"/>
        <v>#REF!</v>
      </c>
      <c r="J9" s="190" t="e">
        <f t="shared" si="0"/>
        <v>#REF!</v>
      </c>
      <c r="K9" s="248" t="e">
        <f>G9/C9</f>
        <v>#REF!</v>
      </c>
      <c r="L9" s="248" t="e">
        <f t="shared" ref="L9:N24" si="1">H9/D9</f>
        <v>#REF!</v>
      </c>
      <c r="M9" s="248" t="e">
        <f t="shared" si="1"/>
        <v>#REF!</v>
      </c>
      <c r="N9" s="248" t="e">
        <f t="shared" si="1"/>
        <v>#REF!</v>
      </c>
    </row>
    <row r="10" spans="1:23" s="276" customFormat="1" ht="20.25" customHeight="1">
      <c r="A10" s="265">
        <v>1</v>
      </c>
      <c r="B10" s="266" t="s">
        <v>831</v>
      </c>
      <c r="C10" s="274" t="e">
        <f>'21-DGthu H 2017'!D9</f>
        <v>#REF!</v>
      </c>
      <c r="D10" s="274" t="e">
        <f>'21-DGthu H 2017'!P9</f>
        <v>#REF!</v>
      </c>
      <c r="E10" s="274" t="e">
        <f>'21-DGthu H 2017'!H9</f>
        <v>#REF!</v>
      </c>
      <c r="F10" s="274" t="e">
        <f>C10-D10</f>
        <v>#REF!</v>
      </c>
      <c r="G10" s="274" t="e">
        <f>'32-DT thu H'!D9</f>
        <v>#REF!</v>
      </c>
      <c r="H10" s="274" t="e">
        <f>'32-DT thu H'!P9</f>
        <v>#REF!</v>
      </c>
      <c r="I10" s="274">
        <f>'32-DT thu H'!H9</f>
        <v>212650</v>
      </c>
      <c r="J10" s="274" t="e">
        <f>G10-H10</f>
        <v>#REF!</v>
      </c>
      <c r="K10" s="275" t="e">
        <f>G10/C10</f>
        <v>#REF!</v>
      </c>
      <c r="L10" s="275" t="e">
        <f t="shared" si="1"/>
        <v>#REF!</v>
      </c>
      <c r="M10" s="275" t="e">
        <f t="shared" si="1"/>
        <v>#REF!</v>
      </c>
      <c r="N10" s="275" t="e">
        <f t="shared" si="1"/>
        <v>#REF!</v>
      </c>
    </row>
    <row r="11" spans="1:23" s="276" customFormat="1" ht="20.25" customHeight="1">
      <c r="A11" s="265">
        <v>2</v>
      </c>
      <c r="B11" s="266" t="s">
        <v>917</v>
      </c>
      <c r="C11" s="274" t="e">
        <f>'21-DGthu H 2017'!D10</f>
        <v>#REF!</v>
      </c>
      <c r="D11" s="274" t="e">
        <f>'21-DGthu H 2017'!P10</f>
        <v>#REF!</v>
      </c>
      <c r="E11" s="274" t="e">
        <f>'21-DGthu H 2017'!H10</f>
        <v>#REF!</v>
      </c>
      <c r="F11" s="274" t="e">
        <f t="shared" ref="F11:F24" si="2">C11-D11</f>
        <v>#REF!</v>
      </c>
      <c r="G11" s="274" t="e">
        <f>'32-DT thu H'!D10</f>
        <v>#REF!</v>
      </c>
      <c r="H11" s="274" t="e">
        <f>'32-DT thu H'!P10</f>
        <v>#REF!</v>
      </c>
      <c r="I11" s="274" t="e">
        <f>'32-DT thu H'!H10</f>
        <v>#REF!</v>
      </c>
      <c r="J11" s="274" t="e">
        <f t="shared" ref="J11:J24" si="3">G11-H11</f>
        <v>#REF!</v>
      </c>
      <c r="K11" s="275" t="e">
        <f t="shared" ref="K11:K24" si="4">G11/C11</f>
        <v>#REF!</v>
      </c>
      <c r="L11" s="275" t="e">
        <f t="shared" si="1"/>
        <v>#REF!</v>
      </c>
      <c r="M11" s="275" t="e">
        <f t="shared" si="1"/>
        <v>#REF!</v>
      </c>
      <c r="N11" s="275" t="e">
        <f t="shared" si="1"/>
        <v>#REF!</v>
      </c>
      <c r="P11" s="298"/>
      <c r="Q11" s="298"/>
    </row>
    <row r="12" spans="1:23" s="276" customFormat="1" ht="20.25" customHeight="1">
      <c r="A12" s="265">
        <v>3</v>
      </c>
      <c r="B12" s="266" t="s">
        <v>918</v>
      </c>
      <c r="C12" s="274" t="e">
        <f>'21-DGthu H 2017'!D11</f>
        <v>#REF!</v>
      </c>
      <c r="D12" s="274" t="e">
        <f>'21-DGthu H 2017'!P11</f>
        <v>#REF!</v>
      </c>
      <c r="E12" s="274" t="e">
        <f>'21-DGthu H 2017'!H11</f>
        <v>#REF!</v>
      </c>
      <c r="F12" s="274" t="e">
        <f t="shared" si="2"/>
        <v>#REF!</v>
      </c>
      <c r="G12" s="274" t="e">
        <f>'32-DT thu H'!D11</f>
        <v>#REF!</v>
      </c>
      <c r="H12" s="274" t="e">
        <f>'32-DT thu H'!P11</f>
        <v>#REF!</v>
      </c>
      <c r="I12" s="274">
        <f>'32-DT thu H'!H11</f>
        <v>214600</v>
      </c>
      <c r="J12" s="274" t="e">
        <f t="shared" si="3"/>
        <v>#REF!</v>
      </c>
      <c r="K12" s="275" t="e">
        <f t="shared" si="4"/>
        <v>#REF!</v>
      </c>
      <c r="L12" s="275" t="e">
        <f t="shared" si="1"/>
        <v>#REF!</v>
      </c>
      <c r="M12" s="275" t="e">
        <f t="shared" si="1"/>
        <v>#REF!</v>
      </c>
      <c r="N12" s="275" t="e">
        <f t="shared" si="1"/>
        <v>#REF!</v>
      </c>
    </row>
    <row r="13" spans="1:23" s="276" customFormat="1" ht="20.25" customHeight="1">
      <c r="A13" s="265">
        <v>4</v>
      </c>
      <c r="B13" s="266" t="s">
        <v>919</v>
      </c>
      <c r="C13" s="274" t="e">
        <f>'21-DGthu H 2017'!D12</f>
        <v>#REF!</v>
      </c>
      <c r="D13" s="274" t="e">
        <f>'21-DGthu H 2017'!P12</f>
        <v>#REF!</v>
      </c>
      <c r="E13" s="274" t="e">
        <f>'21-DGthu H 2017'!H12</f>
        <v>#REF!</v>
      </c>
      <c r="F13" s="274" t="e">
        <f t="shared" si="2"/>
        <v>#REF!</v>
      </c>
      <c r="G13" s="274" t="e">
        <f>'32-DT thu H'!D12</f>
        <v>#REF!</v>
      </c>
      <c r="H13" s="274" t="e">
        <f>'32-DT thu H'!P12</f>
        <v>#REF!</v>
      </c>
      <c r="I13" s="274" t="e">
        <f>'32-DT thu H'!H12</f>
        <v>#REF!</v>
      </c>
      <c r="J13" s="274" t="e">
        <f t="shared" si="3"/>
        <v>#REF!</v>
      </c>
      <c r="K13" s="275" t="e">
        <f t="shared" si="4"/>
        <v>#REF!</v>
      </c>
      <c r="L13" s="275" t="e">
        <f t="shared" si="1"/>
        <v>#REF!</v>
      </c>
      <c r="M13" s="275" t="e">
        <f t="shared" si="1"/>
        <v>#REF!</v>
      </c>
      <c r="N13" s="275" t="e">
        <f t="shared" si="1"/>
        <v>#REF!</v>
      </c>
    </row>
    <row r="14" spans="1:23" s="296" customFormat="1" ht="20.25" customHeight="1">
      <c r="A14" s="292">
        <v>5</v>
      </c>
      <c r="B14" s="293" t="s">
        <v>920</v>
      </c>
      <c r="C14" s="294" t="e">
        <f>'21-DGthu H 2017'!D13</f>
        <v>#REF!</v>
      </c>
      <c r="D14" s="294" t="e">
        <f>'21-DGthu H 2017'!P13</f>
        <v>#REF!</v>
      </c>
      <c r="E14" s="294" t="e">
        <f>'21-DGthu H 2017'!H13</f>
        <v>#REF!</v>
      </c>
      <c r="F14" s="294" t="e">
        <f t="shared" si="2"/>
        <v>#REF!</v>
      </c>
      <c r="G14" s="294" t="e">
        <f>'32-DT thu H'!D13</f>
        <v>#REF!</v>
      </c>
      <c r="H14" s="294" t="e">
        <f>'32-DT thu H'!P13</f>
        <v>#REF!</v>
      </c>
      <c r="I14" s="294" t="e">
        <f>'32-DT thu H'!H13</f>
        <v>#REF!</v>
      </c>
      <c r="J14" s="294" t="e">
        <f t="shared" si="3"/>
        <v>#REF!</v>
      </c>
      <c r="K14" s="295" t="e">
        <f t="shared" si="4"/>
        <v>#REF!</v>
      </c>
      <c r="L14" s="295" t="e">
        <f t="shared" si="1"/>
        <v>#REF!</v>
      </c>
      <c r="M14" s="295" t="e">
        <f t="shared" si="1"/>
        <v>#REF!</v>
      </c>
      <c r="N14" s="295" t="e">
        <f t="shared" si="1"/>
        <v>#REF!</v>
      </c>
    </row>
    <row r="15" spans="1:23" s="287" customFormat="1" ht="20.25" customHeight="1">
      <c r="A15" s="265">
        <v>6</v>
      </c>
      <c r="B15" s="266" t="s">
        <v>921</v>
      </c>
      <c r="C15" s="285" t="e">
        <f>'21-DGthu H 2017'!D14</f>
        <v>#REF!</v>
      </c>
      <c r="D15" s="285" t="e">
        <f>'21-DGthu H 2017'!P14</f>
        <v>#REF!</v>
      </c>
      <c r="E15" s="285" t="e">
        <f>'21-DGthu H 2017'!H14</f>
        <v>#REF!</v>
      </c>
      <c r="F15" s="285" t="e">
        <f t="shared" si="2"/>
        <v>#REF!</v>
      </c>
      <c r="G15" s="285" t="e">
        <f>'32-DT thu H'!D14</f>
        <v>#REF!</v>
      </c>
      <c r="H15" s="285" t="e">
        <f>'32-DT thu H'!P14</f>
        <v>#REF!</v>
      </c>
      <c r="I15" s="285" t="e">
        <f>'32-DT thu H'!H14</f>
        <v>#REF!</v>
      </c>
      <c r="J15" s="285" t="e">
        <f t="shared" si="3"/>
        <v>#REF!</v>
      </c>
      <c r="K15" s="286" t="e">
        <f t="shared" si="4"/>
        <v>#REF!</v>
      </c>
      <c r="L15" s="286" t="e">
        <f t="shared" si="1"/>
        <v>#REF!</v>
      </c>
      <c r="M15" s="286" t="e">
        <f t="shared" si="1"/>
        <v>#REF!</v>
      </c>
      <c r="N15" s="286" t="e">
        <f t="shared" si="1"/>
        <v>#REF!</v>
      </c>
      <c r="P15" s="288"/>
      <c r="Q15" s="288"/>
      <c r="R15" s="288"/>
      <c r="S15" s="288"/>
      <c r="T15" s="289"/>
      <c r="U15" s="289"/>
      <c r="V15" s="289"/>
      <c r="W15" s="289"/>
    </row>
    <row r="16" spans="1:23" s="276" customFormat="1" ht="20.25" customHeight="1">
      <c r="A16" s="265">
        <v>7</v>
      </c>
      <c r="B16" s="266" t="s">
        <v>922</v>
      </c>
      <c r="C16" s="274" t="e">
        <f>'21-DGthu H 2017'!D15</f>
        <v>#REF!</v>
      </c>
      <c r="D16" s="274" t="e">
        <f>'21-DGthu H 2017'!P15</f>
        <v>#REF!</v>
      </c>
      <c r="E16" s="274" t="e">
        <f>'21-DGthu H 2017'!H15</f>
        <v>#REF!</v>
      </c>
      <c r="F16" s="274" t="e">
        <f t="shared" si="2"/>
        <v>#REF!</v>
      </c>
      <c r="G16" s="274" t="e">
        <f>'32-DT thu H'!D15</f>
        <v>#REF!</v>
      </c>
      <c r="H16" s="274" t="e">
        <f>'32-DT thu H'!P15</f>
        <v>#REF!</v>
      </c>
      <c r="I16" s="274" t="e">
        <f>'32-DT thu H'!H15</f>
        <v>#REF!</v>
      </c>
      <c r="J16" s="274" t="e">
        <f t="shared" si="3"/>
        <v>#REF!</v>
      </c>
      <c r="K16" s="275" t="e">
        <f t="shared" si="4"/>
        <v>#REF!</v>
      </c>
      <c r="L16" s="275" t="e">
        <f t="shared" si="1"/>
        <v>#REF!</v>
      </c>
      <c r="M16" s="275" t="e">
        <f t="shared" si="1"/>
        <v>#REF!</v>
      </c>
      <c r="N16" s="275" t="e">
        <f t="shared" si="1"/>
        <v>#REF!</v>
      </c>
    </row>
    <row r="17" spans="1:16" s="296" customFormat="1" ht="20.25" customHeight="1">
      <c r="A17" s="292">
        <v>8</v>
      </c>
      <c r="B17" s="293" t="s">
        <v>923</v>
      </c>
      <c r="C17" s="294" t="e">
        <f>'21-DGthu H 2017'!D16</f>
        <v>#REF!</v>
      </c>
      <c r="D17" s="294" t="e">
        <f>'21-DGthu H 2017'!P16</f>
        <v>#REF!</v>
      </c>
      <c r="E17" s="294" t="e">
        <f>'21-DGthu H 2017'!H16</f>
        <v>#REF!</v>
      </c>
      <c r="F17" s="294" t="e">
        <f t="shared" si="2"/>
        <v>#REF!</v>
      </c>
      <c r="G17" s="294" t="e">
        <f>'32-DT thu H'!D16</f>
        <v>#REF!</v>
      </c>
      <c r="H17" s="294" t="e">
        <f>'32-DT thu H'!P16</f>
        <v>#REF!</v>
      </c>
      <c r="I17" s="294" t="e">
        <f>'32-DT thu H'!H16</f>
        <v>#REF!</v>
      </c>
      <c r="J17" s="294" t="e">
        <f t="shared" si="3"/>
        <v>#REF!</v>
      </c>
      <c r="K17" s="295" t="e">
        <f t="shared" si="4"/>
        <v>#REF!</v>
      </c>
      <c r="L17" s="295" t="e">
        <f t="shared" si="1"/>
        <v>#REF!</v>
      </c>
      <c r="M17" s="295" t="e">
        <f t="shared" si="1"/>
        <v>#REF!</v>
      </c>
      <c r="N17" s="295" t="e">
        <f t="shared" si="1"/>
        <v>#REF!</v>
      </c>
      <c r="P17" s="253"/>
    </row>
    <row r="18" spans="1:16" s="276" customFormat="1" ht="20.25" customHeight="1">
      <c r="A18" s="265">
        <v>9</v>
      </c>
      <c r="B18" s="266" t="s">
        <v>924</v>
      </c>
      <c r="C18" s="274" t="e">
        <f>'21-DGthu H 2017'!D17</f>
        <v>#REF!</v>
      </c>
      <c r="D18" s="274" t="e">
        <f>'21-DGthu H 2017'!P17</f>
        <v>#REF!</v>
      </c>
      <c r="E18" s="274" t="e">
        <f>'21-DGthu H 2017'!H17</f>
        <v>#REF!</v>
      </c>
      <c r="F18" s="274" t="e">
        <f t="shared" si="2"/>
        <v>#REF!</v>
      </c>
      <c r="G18" s="274" t="e">
        <f>'32-DT thu H'!D17</f>
        <v>#REF!</v>
      </c>
      <c r="H18" s="274" t="e">
        <f>'32-DT thu H'!P17</f>
        <v>#REF!</v>
      </c>
      <c r="I18" s="274" t="e">
        <f>'32-DT thu H'!H17</f>
        <v>#REF!</v>
      </c>
      <c r="J18" s="274" t="e">
        <f t="shared" si="3"/>
        <v>#REF!</v>
      </c>
      <c r="K18" s="275" t="e">
        <f t="shared" si="4"/>
        <v>#REF!</v>
      </c>
      <c r="L18" s="275" t="e">
        <f t="shared" si="1"/>
        <v>#REF!</v>
      </c>
      <c r="M18" s="275" t="e">
        <f t="shared" si="1"/>
        <v>#REF!</v>
      </c>
      <c r="N18" s="275" t="e">
        <f t="shared" si="1"/>
        <v>#REF!</v>
      </c>
    </row>
    <row r="19" spans="1:16" s="276" customFormat="1" ht="20.25" customHeight="1">
      <c r="A19" s="265">
        <v>10</v>
      </c>
      <c r="B19" s="266" t="s">
        <v>925</v>
      </c>
      <c r="C19" s="274" t="e">
        <f>'21-DGthu H 2017'!D18</f>
        <v>#REF!</v>
      </c>
      <c r="D19" s="274" t="e">
        <f>'21-DGthu H 2017'!P18</f>
        <v>#REF!</v>
      </c>
      <c r="E19" s="274" t="e">
        <f>'21-DGthu H 2017'!H18</f>
        <v>#REF!</v>
      </c>
      <c r="F19" s="274" t="e">
        <f t="shared" si="2"/>
        <v>#REF!</v>
      </c>
      <c r="G19" s="274" t="e">
        <f>'32-DT thu H'!D18</f>
        <v>#REF!</v>
      </c>
      <c r="H19" s="274">
        <f>'32-DT thu H'!P18</f>
        <v>50000</v>
      </c>
      <c r="I19" s="274" t="e">
        <f>'32-DT thu H'!H18</f>
        <v>#REF!</v>
      </c>
      <c r="J19" s="274" t="e">
        <f t="shared" si="3"/>
        <v>#REF!</v>
      </c>
      <c r="K19" s="275" t="e">
        <f t="shared" si="4"/>
        <v>#REF!</v>
      </c>
      <c r="L19" s="275" t="e">
        <f t="shared" si="1"/>
        <v>#REF!</v>
      </c>
      <c r="M19" s="275" t="e">
        <f t="shared" si="1"/>
        <v>#REF!</v>
      </c>
      <c r="N19" s="275" t="e">
        <f t="shared" si="1"/>
        <v>#REF!</v>
      </c>
    </row>
    <row r="20" spans="1:16" s="276" customFormat="1" ht="20.25" customHeight="1">
      <c r="A20" s="265">
        <v>11</v>
      </c>
      <c r="B20" s="266" t="s">
        <v>926</v>
      </c>
      <c r="C20" s="274" t="e">
        <f>'21-DGthu H 2017'!D19</f>
        <v>#REF!</v>
      </c>
      <c r="D20" s="274" t="e">
        <f>'21-DGthu H 2017'!P19</f>
        <v>#REF!</v>
      </c>
      <c r="E20" s="274" t="e">
        <f>'21-DGthu H 2017'!H19</f>
        <v>#REF!</v>
      </c>
      <c r="F20" s="274" t="e">
        <f t="shared" si="2"/>
        <v>#REF!</v>
      </c>
      <c r="G20" s="274" t="e">
        <f>'32-DT thu H'!D19</f>
        <v>#REF!</v>
      </c>
      <c r="H20" s="274" t="e">
        <f>'32-DT thu H'!P19</f>
        <v>#REF!</v>
      </c>
      <c r="I20" s="274" t="e">
        <f>'32-DT thu H'!H19</f>
        <v>#REF!</v>
      </c>
      <c r="J20" s="274" t="e">
        <f t="shared" si="3"/>
        <v>#REF!</v>
      </c>
      <c r="K20" s="275" t="e">
        <f t="shared" si="4"/>
        <v>#REF!</v>
      </c>
      <c r="L20" s="275" t="e">
        <f t="shared" si="1"/>
        <v>#REF!</v>
      </c>
      <c r="M20" s="275" t="e">
        <f t="shared" si="1"/>
        <v>#REF!</v>
      </c>
      <c r="N20" s="275" t="e">
        <f t="shared" si="1"/>
        <v>#REF!</v>
      </c>
    </row>
    <row r="21" spans="1:16" s="276" customFormat="1" ht="20.25" customHeight="1">
      <c r="A21" s="265">
        <v>12</v>
      </c>
      <c r="B21" s="266" t="s">
        <v>927</v>
      </c>
      <c r="C21" s="274" t="e">
        <f>'21-DGthu H 2017'!D20</f>
        <v>#REF!</v>
      </c>
      <c r="D21" s="274" t="e">
        <f>'21-DGthu H 2017'!P20</f>
        <v>#REF!</v>
      </c>
      <c r="E21" s="274" t="e">
        <f>'21-DGthu H 2017'!H20</f>
        <v>#REF!</v>
      </c>
      <c r="F21" s="274" t="e">
        <f t="shared" si="2"/>
        <v>#REF!</v>
      </c>
      <c r="G21" s="274" t="e">
        <f>'32-DT thu H'!D20</f>
        <v>#REF!</v>
      </c>
      <c r="H21" s="274" t="e">
        <f>'32-DT thu H'!P20</f>
        <v>#REF!</v>
      </c>
      <c r="I21" s="274" t="e">
        <f>'32-DT thu H'!H20</f>
        <v>#REF!</v>
      </c>
      <c r="J21" s="274" t="e">
        <f t="shared" si="3"/>
        <v>#REF!</v>
      </c>
      <c r="K21" s="275" t="e">
        <f t="shared" si="4"/>
        <v>#REF!</v>
      </c>
      <c r="L21" s="275" t="e">
        <f t="shared" si="1"/>
        <v>#REF!</v>
      </c>
      <c r="M21" s="275" t="e">
        <f t="shared" si="1"/>
        <v>#REF!</v>
      </c>
      <c r="N21" s="275" t="e">
        <f t="shared" si="1"/>
        <v>#REF!</v>
      </c>
    </row>
    <row r="22" spans="1:16" s="303" customFormat="1" ht="20.25" customHeight="1">
      <c r="A22" s="299">
        <v>13</v>
      </c>
      <c r="B22" s="300" t="s">
        <v>928</v>
      </c>
      <c r="C22" s="301" t="e">
        <f>'21-DGthu H 2017'!D21</f>
        <v>#REF!</v>
      </c>
      <c r="D22" s="301" t="e">
        <f>'21-DGthu H 2017'!P21</f>
        <v>#REF!</v>
      </c>
      <c r="E22" s="301" t="e">
        <f>'21-DGthu H 2017'!H21</f>
        <v>#REF!</v>
      </c>
      <c r="F22" s="301" t="e">
        <f t="shared" si="2"/>
        <v>#REF!</v>
      </c>
      <c r="G22" s="301" t="e">
        <f>'32-DT thu H'!D21</f>
        <v>#REF!</v>
      </c>
      <c r="H22" s="301" t="e">
        <f>'32-DT thu H'!P21</f>
        <v>#REF!</v>
      </c>
      <c r="I22" s="301" t="e">
        <f>'32-DT thu H'!H21</f>
        <v>#REF!</v>
      </c>
      <c r="J22" s="301" t="e">
        <f t="shared" si="3"/>
        <v>#REF!</v>
      </c>
      <c r="K22" s="302" t="e">
        <f t="shared" si="4"/>
        <v>#REF!</v>
      </c>
      <c r="L22" s="302" t="e">
        <f t="shared" si="1"/>
        <v>#REF!</v>
      </c>
      <c r="M22" s="302" t="e">
        <f t="shared" si="1"/>
        <v>#REF!</v>
      </c>
      <c r="N22" s="302" t="e">
        <f t="shared" si="1"/>
        <v>#REF!</v>
      </c>
    </row>
    <row r="23" spans="1:16" s="276" customFormat="1" ht="20.25" customHeight="1">
      <c r="A23" s="265">
        <v>14</v>
      </c>
      <c r="B23" s="266" t="s">
        <v>929</v>
      </c>
      <c r="C23" s="274" t="e">
        <f>'21-DGthu H 2017'!D22</f>
        <v>#REF!</v>
      </c>
      <c r="D23" s="274" t="e">
        <f>'21-DGthu H 2017'!P22</f>
        <v>#REF!</v>
      </c>
      <c r="E23" s="274" t="e">
        <f>'21-DGthu H 2017'!H22</f>
        <v>#REF!</v>
      </c>
      <c r="F23" s="274" t="e">
        <f t="shared" si="2"/>
        <v>#REF!</v>
      </c>
      <c r="G23" s="274" t="e">
        <f>'32-DT thu H'!D22</f>
        <v>#REF!</v>
      </c>
      <c r="H23" s="274" t="e">
        <f>'32-DT thu H'!P22</f>
        <v>#REF!</v>
      </c>
      <c r="I23" s="274" t="e">
        <f>'32-DT thu H'!H22</f>
        <v>#REF!</v>
      </c>
      <c r="J23" s="274" t="e">
        <f t="shared" si="3"/>
        <v>#REF!</v>
      </c>
      <c r="K23" s="275" t="e">
        <f t="shared" si="4"/>
        <v>#REF!</v>
      </c>
      <c r="L23" s="275" t="e">
        <f t="shared" si="1"/>
        <v>#REF!</v>
      </c>
      <c r="M23" s="275" t="e">
        <f t="shared" si="1"/>
        <v>#REF!</v>
      </c>
      <c r="N23" s="275" t="e">
        <f t="shared" si="1"/>
        <v>#REF!</v>
      </c>
    </row>
    <row r="24" spans="1:16" s="276" customFormat="1" ht="20.25" customHeight="1">
      <c r="A24" s="265">
        <v>15</v>
      </c>
      <c r="B24" s="266" t="s">
        <v>930</v>
      </c>
      <c r="C24" s="274" t="e">
        <f>'21-DGthu H 2017'!D23</f>
        <v>#REF!</v>
      </c>
      <c r="D24" s="274" t="e">
        <f>'21-DGthu H 2017'!P23</f>
        <v>#REF!</v>
      </c>
      <c r="E24" s="274" t="e">
        <f>'21-DGthu H 2017'!H23</f>
        <v>#REF!</v>
      </c>
      <c r="F24" s="274" t="e">
        <f t="shared" si="2"/>
        <v>#REF!</v>
      </c>
      <c r="G24" s="274" t="e">
        <f>'32-DT thu H'!D23</f>
        <v>#REF!</v>
      </c>
      <c r="H24" s="274" t="e">
        <f>'32-DT thu H'!P23</f>
        <v>#REF!</v>
      </c>
      <c r="I24" s="274" t="e">
        <f>'32-DT thu H'!H23</f>
        <v>#REF!</v>
      </c>
      <c r="J24" s="274" t="e">
        <f t="shared" si="3"/>
        <v>#REF!</v>
      </c>
      <c r="K24" s="275" t="e">
        <f t="shared" si="4"/>
        <v>#REF!</v>
      </c>
      <c r="L24" s="275" t="e">
        <f t="shared" si="1"/>
        <v>#REF!</v>
      </c>
      <c r="M24" s="275" t="e">
        <f t="shared" si="1"/>
        <v>#REF!</v>
      </c>
      <c r="N24" s="275" t="e">
        <f t="shared" si="1"/>
        <v>#REF!</v>
      </c>
    </row>
    <row r="25" spans="1:16" s="276" customFormat="1" ht="20.25" customHeight="1">
      <c r="A25" s="277"/>
      <c r="B25" s="278"/>
      <c r="C25" s="279"/>
      <c r="D25" s="279"/>
      <c r="E25" s="279"/>
      <c r="F25" s="279"/>
      <c r="G25" s="279"/>
      <c r="H25" s="279"/>
      <c r="I25" s="279"/>
      <c r="J25" s="274"/>
      <c r="K25" s="275"/>
      <c r="L25" s="275"/>
      <c r="M25" s="275"/>
      <c r="N25" s="275"/>
    </row>
    <row r="26" spans="1:16" s="284" customFormat="1" ht="20.25" customHeight="1">
      <c r="A26" s="280"/>
      <c r="B26" s="281"/>
      <c r="C26" s="282"/>
      <c r="D26" s="282"/>
      <c r="E26" s="282"/>
      <c r="F26" s="282"/>
      <c r="G26" s="282"/>
      <c r="H26" s="282"/>
      <c r="I26" s="282"/>
      <c r="J26" s="282"/>
      <c r="K26" s="283"/>
      <c r="L26" s="283"/>
      <c r="M26" s="283"/>
      <c r="N26" s="283"/>
    </row>
    <row r="27" spans="1:16" s="284" customFormat="1" ht="20.25" customHeight="1">
      <c r="A27" s="280"/>
      <c r="B27" s="281"/>
      <c r="C27" s="282"/>
      <c r="D27" s="282"/>
      <c r="E27" s="282"/>
      <c r="F27" s="282"/>
      <c r="G27" s="282"/>
      <c r="H27" s="282"/>
      <c r="I27" s="282"/>
      <c r="J27" s="282"/>
      <c r="K27" s="283"/>
      <c r="L27" s="283"/>
      <c r="M27" s="283"/>
      <c r="N27" s="283"/>
    </row>
    <row r="28" spans="1:16" ht="20.25" customHeight="1">
      <c r="A28" s="65"/>
      <c r="B28" s="70"/>
      <c r="C28" s="92"/>
      <c r="D28" s="92"/>
      <c r="E28" s="92"/>
      <c r="F28" s="92"/>
      <c r="G28" s="92"/>
      <c r="H28" s="92"/>
      <c r="I28" s="92"/>
      <c r="J28" s="92"/>
      <c r="K28" s="92"/>
      <c r="L28" s="92"/>
      <c r="M28" s="92"/>
      <c r="N28" s="92"/>
    </row>
    <row r="29" spans="1:16" ht="15.75">
      <c r="A29" s="28" t="s">
        <v>528</v>
      </c>
    </row>
    <row r="30" spans="1:16" s="39" customFormat="1" ht="15.75">
      <c r="A30" s="34" t="s">
        <v>576</v>
      </c>
    </row>
    <row r="31" spans="1:16" ht="15.75">
      <c r="A31" s="34" t="s">
        <v>475</v>
      </c>
    </row>
  </sheetData>
  <customSheetViews>
    <customSheetView guid="{9F606621-8853-4836-9A7E-DBA5CF152671}" showPageBreaks="1">
      <selection activeCell="O11" sqref="O11"/>
      <pageMargins left="0.70866141732283472" right="0.70866141732283472" top="0.74803149606299213" bottom="0.74803149606299213" header="0.31496062992125984" footer="0.31496062992125984"/>
      <pageSetup paperSize="9" scale="80" orientation="landscape" r:id="rId1"/>
    </customSheetView>
    <customSheetView guid="{DB9039ED-C6EA-422D-9A5D-D152D95EDC67}" showPageBreaks="1" printArea="1" hiddenRows="1">
      <selection activeCell="O11" sqref="O11"/>
      <pageMargins left="0.70866141732283472" right="0.70866141732283472" top="0.74803149606299213" bottom="0.74803149606299213" header="0.31496062992125984" footer="0.31496062992125984"/>
      <printOptions horizontalCentered="1"/>
      <pageSetup paperSize="9" scale="80" orientation="landscape" blackAndWhite="1" r:id="rId2"/>
    </customSheetView>
  </customSheetViews>
  <mergeCells count="13">
    <mergeCell ref="A2:N2"/>
    <mergeCell ref="A3:N3"/>
    <mergeCell ref="L6:N6"/>
    <mergeCell ref="A5:A7"/>
    <mergeCell ref="B5:B7"/>
    <mergeCell ref="C5:F5"/>
    <mergeCell ref="G5:J5"/>
    <mergeCell ref="K5:N5"/>
    <mergeCell ref="C6:C7"/>
    <mergeCell ref="D6:F6"/>
    <mergeCell ref="G6:G7"/>
    <mergeCell ref="H6:J6"/>
    <mergeCell ref="K6:K7"/>
  </mergeCells>
  <pageMargins left="0.70866141732283472" right="0.70866141732283472" top="0.74803149606299213" bottom="0.74803149606299213" header="0.31496062992125984" footer="0.31496062992125984"/>
  <pageSetup paperSize="9" scale="80" orientation="landscape" r:id="rId3"/>
</worksheet>
</file>

<file path=xl/worksheets/sheet32.xml><?xml version="1.0" encoding="utf-8"?>
<worksheet xmlns="http://schemas.openxmlformats.org/spreadsheetml/2006/main" xmlns:r="http://schemas.openxmlformats.org/officeDocument/2006/relationships">
  <dimension ref="A1:AX69"/>
  <sheetViews>
    <sheetView topLeftCell="A4" workbookViewId="0">
      <selection activeCell="H17" sqref="H17"/>
    </sheetView>
  </sheetViews>
  <sheetFormatPr defaultColWidth="8.85546875" defaultRowHeight="15"/>
  <cols>
    <col min="1" max="1" width="5.85546875" style="276" customWidth="1"/>
    <col min="2" max="2" width="17.28515625" style="276" customWidth="1"/>
    <col min="3" max="3" width="10.140625" style="276" customWidth="1"/>
    <col min="4" max="4" width="10" style="276" customWidth="1"/>
    <col min="5" max="7" width="8.85546875" style="276"/>
    <col min="8" max="8" width="10.7109375" style="276" customWidth="1"/>
    <col min="9" max="15" width="8.85546875" style="276"/>
    <col min="16" max="16" width="9.140625" style="276"/>
    <col min="17" max="20" width="8.85546875" style="276"/>
    <col min="21" max="24" width="8.85546875" style="276" customWidth="1"/>
    <col min="25" max="25" width="10.42578125" style="276" customWidth="1"/>
    <col min="26" max="29" width="8.85546875" style="276" customWidth="1"/>
    <col min="30" max="30" width="8.85546875" style="276"/>
    <col min="31" max="32" width="10.85546875" style="276" customWidth="1"/>
    <col min="33" max="40" width="8.85546875" style="276"/>
    <col min="41" max="41" width="9.140625" style="276" customWidth="1"/>
    <col min="42" max="16384" width="8.85546875" style="276"/>
  </cols>
  <sheetData>
    <row r="1" spans="1:50" ht="15.75">
      <c r="W1" s="450" t="s">
        <v>577</v>
      </c>
      <c r="Z1" s="450"/>
    </row>
    <row r="2" spans="1:50" ht="24" customHeight="1">
      <c r="A2" s="791" t="s">
        <v>848</v>
      </c>
      <c r="B2" s="791"/>
      <c r="C2" s="791"/>
      <c r="D2" s="791"/>
      <c r="E2" s="791"/>
      <c r="F2" s="791"/>
      <c r="G2" s="791"/>
      <c r="H2" s="791"/>
      <c r="I2" s="791"/>
      <c r="J2" s="791"/>
      <c r="K2" s="791"/>
      <c r="L2" s="791"/>
      <c r="M2" s="791"/>
      <c r="N2" s="791"/>
      <c r="O2" s="791"/>
      <c r="P2" s="791"/>
      <c r="Q2" s="791"/>
      <c r="R2" s="791"/>
      <c r="S2" s="791"/>
      <c r="T2" s="791"/>
      <c r="U2" s="791"/>
      <c r="V2" s="791"/>
      <c r="W2" s="791"/>
      <c r="X2" s="791"/>
      <c r="Y2" s="791"/>
      <c r="Z2" s="791"/>
    </row>
    <row r="3" spans="1:50" ht="15.75">
      <c r="A3" s="792"/>
      <c r="B3" s="792"/>
      <c r="C3" s="792"/>
      <c r="D3" s="792"/>
      <c r="E3" s="792"/>
      <c r="F3" s="792"/>
      <c r="G3" s="792"/>
      <c r="H3" s="792"/>
      <c r="I3" s="792"/>
      <c r="J3" s="792"/>
      <c r="K3" s="792"/>
      <c r="L3" s="792"/>
      <c r="M3" s="792"/>
      <c r="N3" s="792"/>
      <c r="O3" s="792"/>
      <c r="P3" s="792"/>
      <c r="Q3" s="792"/>
      <c r="R3" s="792"/>
      <c r="S3" s="792"/>
      <c r="T3" s="792"/>
      <c r="U3" s="792"/>
      <c r="V3" s="792"/>
      <c r="W3" s="792"/>
      <c r="X3" s="792"/>
      <c r="Y3" s="792"/>
      <c r="Z3" s="792"/>
    </row>
    <row r="4" spans="1:50" ht="15.75">
      <c r="C4" s="298"/>
      <c r="T4" s="451" t="s">
        <v>56</v>
      </c>
      <c r="Z4" s="451"/>
    </row>
    <row r="5" spans="1:50" ht="24" customHeight="1">
      <c r="A5" s="793" t="s">
        <v>3</v>
      </c>
      <c r="B5" s="793" t="s">
        <v>1288</v>
      </c>
      <c r="C5" s="793" t="s">
        <v>479</v>
      </c>
      <c r="D5" s="793" t="s">
        <v>1289</v>
      </c>
      <c r="E5" s="793" t="s">
        <v>468</v>
      </c>
      <c r="F5" s="793"/>
      <c r="G5" s="793"/>
      <c r="H5" s="793"/>
      <c r="I5" s="793"/>
      <c r="J5" s="793"/>
      <c r="K5" s="793"/>
      <c r="L5" s="793"/>
      <c r="M5" s="793"/>
      <c r="N5" s="793"/>
      <c r="O5" s="793"/>
      <c r="P5" s="793"/>
      <c r="Q5" s="793"/>
      <c r="R5" s="793"/>
      <c r="S5" s="793"/>
      <c r="T5" s="793"/>
      <c r="U5" s="793"/>
      <c r="V5" s="793" t="s">
        <v>1290</v>
      </c>
      <c r="W5" s="793" t="s">
        <v>1291</v>
      </c>
      <c r="X5" s="793" t="s">
        <v>468</v>
      </c>
      <c r="Y5" s="793"/>
      <c r="Z5" s="793"/>
      <c r="AA5" s="793"/>
      <c r="AB5" s="793"/>
      <c r="AC5" s="793"/>
      <c r="AD5" s="452"/>
      <c r="AE5" s="453"/>
      <c r="AF5" s="453"/>
      <c r="AG5" s="453"/>
      <c r="AH5" s="790" t="s">
        <v>947</v>
      </c>
      <c r="AI5" s="790"/>
      <c r="AJ5" s="790"/>
      <c r="AK5" s="790"/>
      <c r="AL5" s="790" t="s">
        <v>948</v>
      </c>
      <c r="AM5" s="790"/>
      <c r="AN5" s="790"/>
      <c r="AO5" s="790"/>
      <c r="AP5" s="790"/>
      <c r="AQ5" s="790" t="s">
        <v>952</v>
      </c>
      <c r="AR5" s="790" t="s">
        <v>950</v>
      </c>
      <c r="AS5" s="453"/>
      <c r="AT5" s="453"/>
    </row>
    <row r="6" spans="1:50" ht="128.25">
      <c r="A6" s="793"/>
      <c r="B6" s="793"/>
      <c r="C6" s="793"/>
      <c r="D6" s="793"/>
      <c r="E6" s="440" t="s">
        <v>932</v>
      </c>
      <c r="F6" s="440" t="s">
        <v>933</v>
      </c>
      <c r="G6" s="440" t="s">
        <v>934</v>
      </c>
      <c r="H6" s="440" t="s">
        <v>935</v>
      </c>
      <c r="I6" s="440" t="s">
        <v>267</v>
      </c>
      <c r="J6" s="440" t="s">
        <v>268</v>
      </c>
      <c r="K6" s="440" t="s">
        <v>415</v>
      </c>
      <c r="L6" s="440" t="s">
        <v>357</v>
      </c>
      <c r="M6" s="440" t="s">
        <v>361</v>
      </c>
      <c r="N6" s="440" t="s">
        <v>362</v>
      </c>
      <c r="O6" s="440" t="s">
        <v>936</v>
      </c>
      <c r="P6" s="440" t="s">
        <v>937</v>
      </c>
      <c r="Q6" s="440" t="s">
        <v>938</v>
      </c>
      <c r="R6" s="440" t="s">
        <v>366</v>
      </c>
      <c r="S6" s="440" t="s">
        <v>1072</v>
      </c>
      <c r="T6" s="440" t="s">
        <v>367</v>
      </c>
      <c r="U6" s="440" t="s">
        <v>939</v>
      </c>
      <c r="V6" s="793"/>
      <c r="W6" s="793">
        <v>-3</v>
      </c>
      <c r="X6" s="440" t="s">
        <v>480</v>
      </c>
      <c r="Y6" s="440" t="s">
        <v>481</v>
      </c>
      <c r="Z6" s="440" t="s">
        <v>482</v>
      </c>
      <c r="AA6" s="440" t="s">
        <v>483</v>
      </c>
      <c r="AB6" s="440" t="s">
        <v>484</v>
      </c>
      <c r="AC6" s="440" t="s">
        <v>485</v>
      </c>
      <c r="AD6" s="452"/>
      <c r="AE6" s="453" t="s">
        <v>944</v>
      </c>
      <c r="AF6" s="453" t="s">
        <v>945</v>
      </c>
      <c r="AG6" s="453" t="s">
        <v>946</v>
      </c>
      <c r="AH6" s="453" t="s">
        <v>941</v>
      </c>
      <c r="AI6" s="453" t="s">
        <v>942</v>
      </c>
      <c r="AJ6" s="453" t="s">
        <v>943</v>
      </c>
      <c r="AK6" s="453"/>
      <c r="AL6" s="453" t="s">
        <v>940</v>
      </c>
      <c r="AM6" s="453" t="s">
        <v>951</v>
      </c>
      <c r="AN6" s="453" t="s">
        <v>949</v>
      </c>
      <c r="AO6" s="453" t="s">
        <v>1113</v>
      </c>
      <c r="AP6" s="453" t="s">
        <v>1071</v>
      </c>
      <c r="AQ6" s="790"/>
      <c r="AR6" s="790"/>
      <c r="AS6" s="453"/>
      <c r="AT6" s="453" t="s">
        <v>1085</v>
      </c>
      <c r="AX6" s="276" t="s">
        <v>1487</v>
      </c>
    </row>
    <row r="7" spans="1:50">
      <c r="A7" s="440" t="s">
        <v>15</v>
      </c>
      <c r="B7" s="440" t="s">
        <v>16</v>
      </c>
      <c r="C7" s="440">
        <v>1</v>
      </c>
      <c r="D7" s="440">
        <v>2</v>
      </c>
      <c r="E7" s="440">
        <v>3</v>
      </c>
      <c r="F7" s="440">
        <v>4</v>
      </c>
      <c r="G7" s="440">
        <v>5</v>
      </c>
      <c r="H7" s="440">
        <v>6</v>
      </c>
      <c r="I7" s="440">
        <v>7</v>
      </c>
      <c r="J7" s="440">
        <v>8</v>
      </c>
      <c r="K7" s="440">
        <v>9</v>
      </c>
      <c r="L7" s="440">
        <v>10</v>
      </c>
      <c r="M7" s="440">
        <v>11</v>
      </c>
      <c r="N7" s="440">
        <v>12</v>
      </c>
      <c r="O7" s="440">
        <v>13</v>
      </c>
      <c r="P7" s="440">
        <v>14</v>
      </c>
      <c r="Q7" s="440">
        <v>15</v>
      </c>
      <c r="R7" s="440">
        <v>16</v>
      </c>
      <c r="S7" s="440">
        <v>17</v>
      </c>
      <c r="T7" s="440">
        <v>18</v>
      </c>
      <c r="U7" s="440">
        <v>19</v>
      </c>
      <c r="V7" s="440">
        <v>20</v>
      </c>
      <c r="W7" s="440">
        <v>21</v>
      </c>
      <c r="X7" s="440"/>
      <c r="Y7" s="440"/>
      <c r="Z7" s="440"/>
      <c r="AA7" s="440"/>
      <c r="AB7" s="440"/>
      <c r="AC7" s="440"/>
      <c r="AD7" s="268"/>
      <c r="AE7" s="291"/>
      <c r="AF7" s="291"/>
      <c r="AG7" s="291"/>
      <c r="AH7" s="291"/>
      <c r="AI7" s="291"/>
      <c r="AJ7" s="291"/>
      <c r="AK7" s="291"/>
      <c r="AL7" s="291"/>
      <c r="AM7" s="291"/>
      <c r="AN7" s="291"/>
      <c r="AO7" s="291"/>
      <c r="AP7" s="291"/>
      <c r="AQ7" s="291"/>
      <c r="AR7" s="291"/>
      <c r="AS7" s="291"/>
      <c r="AT7" s="291"/>
    </row>
    <row r="8" spans="1:50" ht="14.45" customHeight="1">
      <c r="A8" s="454"/>
      <c r="B8" s="455" t="s">
        <v>473</v>
      </c>
      <c r="C8" s="456" t="e">
        <f>D8+V8+W8</f>
        <v>#REF!</v>
      </c>
      <c r="D8" s="456" t="e">
        <f>SUM(D9:D23)</f>
        <v>#REF!</v>
      </c>
      <c r="E8" s="456" t="e">
        <f t="shared" ref="E8:W8" si="0">SUM(E9:E23)</f>
        <v>#REF!</v>
      </c>
      <c r="F8" s="456" t="e">
        <f t="shared" si="0"/>
        <v>#REF!</v>
      </c>
      <c r="G8" s="456" t="e">
        <f t="shared" si="0"/>
        <v>#REF!</v>
      </c>
      <c r="H8" s="456" t="e">
        <f t="shared" si="0"/>
        <v>#REF!</v>
      </c>
      <c r="I8" s="456" t="e">
        <f t="shared" si="0"/>
        <v>#REF!</v>
      </c>
      <c r="J8" s="456" t="e">
        <f t="shared" si="0"/>
        <v>#REF!</v>
      </c>
      <c r="K8" s="456" t="e">
        <f t="shared" si="0"/>
        <v>#REF!</v>
      </c>
      <c r="L8" s="456" t="e">
        <f t="shared" si="0"/>
        <v>#REF!</v>
      </c>
      <c r="M8" s="456" t="e">
        <f t="shared" si="0"/>
        <v>#REF!</v>
      </c>
      <c r="N8" s="456" t="e">
        <f t="shared" si="0"/>
        <v>#REF!</v>
      </c>
      <c r="O8" s="456" t="e">
        <f t="shared" si="0"/>
        <v>#REF!</v>
      </c>
      <c r="P8" s="456" t="e">
        <f t="shared" si="0"/>
        <v>#REF!</v>
      </c>
      <c r="Q8" s="456" t="e">
        <f t="shared" si="0"/>
        <v>#REF!</v>
      </c>
      <c r="R8" s="456" t="e">
        <f t="shared" si="0"/>
        <v>#REF!</v>
      </c>
      <c r="S8" s="456" t="e">
        <f t="shared" si="0"/>
        <v>#REF!</v>
      </c>
      <c r="T8" s="456" t="e">
        <f t="shared" si="0"/>
        <v>#REF!</v>
      </c>
      <c r="U8" s="456" t="e">
        <f t="shared" si="0"/>
        <v>#REF!</v>
      </c>
      <c r="V8" s="456">
        <f t="shared" si="0"/>
        <v>0</v>
      </c>
      <c r="W8" s="456">
        <f t="shared" si="0"/>
        <v>0</v>
      </c>
      <c r="X8" s="455"/>
      <c r="Y8" s="455"/>
      <c r="Z8" s="455"/>
      <c r="AA8" s="455"/>
      <c r="AB8" s="455"/>
      <c r="AC8" s="455"/>
      <c r="AD8" s="273"/>
      <c r="AE8" s="457" t="e">
        <f>SUM(AE9:AE23)</f>
        <v>#REF!</v>
      </c>
      <c r="AF8" s="457" t="e">
        <f>SUM(AF9:AF23)</f>
        <v>#REF!</v>
      </c>
      <c r="AG8" s="457" t="e">
        <f t="shared" ref="AG8:AR8" si="1">SUM(AG9:AG23)</f>
        <v>#REF!</v>
      </c>
      <c r="AH8" s="457" t="e">
        <f t="shared" si="1"/>
        <v>#REF!</v>
      </c>
      <c r="AI8" s="457" t="e">
        <f t="shared" si="1"/>
        <v>#REF!</v>
      </c>
      <c r="AJ8" s="457" t="e">
        <f t="shared" si="1"/>
        <v>#REF!</v>
      </c>
      <c r="AK8" s="457">
        <f t="shared" si="1"/>
        <v>0</v>
      </c>
      <c r="AL8" s="457" t="e">
        <f t="shared" si="1"/>
        <v>#REF!</v>
      </c>
      <c r="AM8" s="457">
        <f t="shared" si="1"/>
        <v>0</v>
      </c>
      <c r="AN8" s="457" t="e">
        <f t="shared" si="1"/>
        <v>#REF!</v>
      </c>
      <c r="AO8" s="457" t="e">
        <f t="shared" si="1"/>
        <v>#REF!</v>
      </c>
      <c r="AP8" s="457" t="e">
        <f t="shared" si="1"/>
        <v>#REF!</v>
      </c>
      <c r="AQ8" s="457">
        <f t="shared" si="1"/>
        <v>0</v>
      </c>
      <c r="AR8" s="457">
        <f t="shared" si="1"/>
        <v>0</v>
      </c>
      <c r="AS8" s="457"/>
      <c r="AT8" s="457"/>
    </row>
    <row r="9" spans="1:50">
      <c r="A9" s="265">
        <v>1</v>
      </c>
      <c r="B9" s="266" t="s">
        <v>831</v>
      </c>
      <c r="C9" s="290" t="e">
        <f>+D9+V9+W9</f>
        <v>#REF!</v>
      </c>
      <c r="D9" s="290" t="e">
        <f>SUM(E9:U9)</f>
        <v>#REF!</v>
      </c>
      <c r="E9" s="290">
        <f>+'[18]16-ThuNSNN2018'!$I$12</f>
        <v>0</v>
      </c>
      <c r="F9" s="290">
        <f>+'[18]16-ThuNSNN2018'!$I$17</f>
        <v>19550</v>
      </c>
      <c r="G9" s="290">
        <f>+'[18]16-ThuNSNN2018'!$I$22</f>
        <v>0</v>
      </c>
      <c r="H9" s="290">
        <f>+'[18]16-ThuNSNN2018'!$I$29</f>
        <v>212650</v>
      </c>
      <c r="I9" s="290" t="e">
        <f>+'48-CK NSNN'!#REF!</f>
        <v>#REF!</v>
      </c>
      <c r="J9" s="290" t="e">
        <f>+'48-CK NSNN'!#REF!</f>
        <v>#REF!</v>
      </c>
      <c r="K9" s="290" t="e">
        <f>+'48-CK NSNN'!#REF!</f>
        <v>#REF!</v>
      </c>
      <c r="L9" s="290" t="e">
        <f>+'48-CK NSNN'!#REF!</f>
        <v>#REF!</v>
      </c>
      <c r="M9" s="290">
        <f>+'[18]16-ThuNSNN2018'!$I$46</f>
        <v>0</v>
      </c>
      <c r="N9" s="290" t="e">
        <f>+'48-CK NSNN'!#REF!</f>
        <v>#REF!</v>
      </c>
      <c r="O9" s="290" t="e">
        <f>+'48-CK NSNN'!#REF!</f>
        <v>#REF!</v>
      </c>
      <c r="P9" s="290" t="e">
        <f>+'48-CK NSNN'!#REF!</f>
        <v>#REF!</v>
      </c>
      <c r="Q9" s="290">
        <f>+'[18]16-ThuNSNN2018'!$I$51</f>
        <v>0</v>
      </c>
      <c r="R9" s="290">
        <f>+'[18]16-ThuNSNN2018'!$I$57</f>
        <v>0</v>
      </c>
      <c r="S9" s="290" t="e">
        <f>+'48-CK NSNN'!#REF!</f>
        <v>#REF!</v>
      </c>
      <c r="T9" s="290" t="e">
        <f>+'48-CK NSNN'!#REF!</f>
        <v>#REF!</v>
      </c>
      <c r="U9" s="290" t="e">
        <f>+'48-CK NSNN'!#REF!</f>
        <v>#REF!</v>
      </c>
      <c r="V9" s="290"/>
      <c r="W9" s="290"/>
      <c r="X9" s="266"/>
      <c r="Y9" s="266"/>
      <c r="Z9" s="266"/>
      <c r="AA9" s="266"/>
      <c r="AB9" s="266"/>
      <c r="AC9" s="266"/>
      <c r="AD9" s="268"/>
      <c r="AE9" s="291" t="e">
        <f>C9-AG9</f>
        <v>#REF!</v>
      </c>
      <c r="AF9" s="291" t="e">
        <f>AE9-P9</f>
        <v>#REF!</v>
      </c>
      <c r="AG9" s="291" t="e">
        <f>+AH9+AI9+AJ9+AK9+AL9+AM9+AN9+AP9+AQ9+AO9</f>
        <v>#REF!</v>
      </c>
      <c r="AH9" s="291" t="e">
        <f>+'48-CK NSNN'!#REF!</f>
        <v>#REF!</v>
      </c>
      <c r="AI9" s="291" t="e">
        <f>'48-CK NSNN'!#REF!</f>
        <v>#REF!</v>
      </c>
      <c r="AJ9" s="291" t="e">
        <f>+'48-CK NSNN'!#REF!</f>
        <v>#REF!</v>
      </c>
      <c r="AK9" s="291"/>
      <c r="AL9" s="291" t="e">
        <f>+'48-CK NSNN'!#REF!</f>
        <v>#REF!</v>
      </c>
      <c r="AM9" s="291">
        <f>AR9*0.3</f>
        <v>0</v>
      </c>
      <c r="AN9" s="291" t="e">
        <f>J9</f>
        <v>#REF!</v>
      </c>
      <c r="AO9" s="291">
        <f>+'[18]16-ThuNSNN2018'!$I$66</f>
        <v>0</v>
      </c>
      <c r="AP9" s="291" t="e">
        <f>S9</f>
        <v>#REF!</v>
      </c>
      <c r="AQ9" s="291"/>
      <c r="AR9" s="291"/>
      <c r="AS9" s="291"/>
      <c r="AT9" s="291">
        <v>10000</v>
      </c>
      <c r="AX9" s="298" t="e">
        <f>D9-P9</f>
        <v>#REF!</v>
      </c>
    </row>
    <row r="10" spans="1:50">
      <c r="A10" s="265">
        <v>2</v>
      </c>
      <c r="B10" s="266" t="s">
        <v>917</v>
      </c>
      <c r="C10" s="290" t="e">
        <f t="shared" ref="C10:C23" si="2">+D10+V10+W10</f>
        <v>#REF!</v>
      </c>
      <c r="D10" s="290" t="e">
        <f t="shared" ref="D10:D23" si="3">SUM(E10:U10)</f>
        <v>#REF!</v>
      </c>
      <c r="E10" s="290" t="e">
        <f>+'48-CK NSNN'!#REF!</f>
        <v>#REF!</v>
      </c>
      <c r="F10" s="290" t="e">
        <f>+'48-CK NSNN'!#REF!</f>
        <v>#REF!</v>
      </c>
      <c r="G10" s="290" t="e">
        <f>+'48-CK NSNN'!#REF!</f>
        <v>#REF!</v>
      </c>
      <c r="H10" s="290" t="e">
        <f>+'48-CK NSNN'!#REF!</f>
        <v>#REF!</v>
      </c>
      <c r="I10" s="290" t="e">
        <f>+'48-CK NSNN'!#REF!</f>
        <v>#REF!</v>
      </c>
      <c r="J10" s="290" t="e">
        <f>+'48-CK NSNN'!#REF!</f>
        <v>#REF!</v>
      </c>
      <c r="K10" s="290" t="e">
        <f>+'48-CK NSNN'!#REF!</f>
        <v>#REF!</v>
      </c>
      <c r="L10" s="290" t="e">
        <f>+'48-CK NSNN'!#REF!</f>
        <v>#REF!</v>
      </c>
      <c r="M10" s="290" t="e">
        <f>+'48-CK NSNN'!#REF!</f>
        <v>#REF!</v>
      </c>
      <c r="N10" s="290" t="e">
        <f>+'48-CK NSNN'!#REF!</f>
        <v>#REF!</v>
      </c>
      <c r="O10" s="290" t="e">
        <f>+'48-CK NSNN'!#REF!</f>
        <v>#REF!</v>
      </c>
      <c r="P10" s="290" t="e">
        <f>+'48-CK NSNN'!#REF!</f>
        <v>#REF!</v>
      </c>
      <c r="Q10" s="290" t="e">
        <f>+'48-CK NSNN'!#REF!</f>
        <v>#REF!</v>
      </c>
      <c r="R10" s="290" t="e">
        <f>+'48-CK NSNN'!#REF!</f>
        <v>#REF!</v>
      </c>
      <c r="S10" s="290" t="e">
        <f>+'48-CK NSNN'!#REF!</f>
        <v>#REF!</v>
      </c>
      <c r="T10" s="290" t="e">
        <f>+'48-CK NSNN'!#REF!</f>
        <v>#REF!</v>
      </c>
      <c r="U10" s="290" t="e">
        <f>+'48-CK NSNN'!#REF!</f>
        <v>#REF!</v>
      </c>
      <c r="V10" s="290"/>
      <c r="W10" s="290"/>
      <c r="X10" s="266"/>
      <c r="Y10" s="266"/>
      <c r="Z10" s="266"/>
      <c r="AA10" s="266"/>
      <c r="AB10" s="266"/>
      <c r="AC10" s="266"/>
      <c r="AD10" s="268"/>
      <c r="AE10" s="291" t="e">
        <f t="shared" ref="AE10:AE23" si="4">C10-AG10</f>
        <v>#REF!</v>
      </c>
      <c r="AF10" s="291" t="e">
        <f t="shared" ref="AF10:AF23" si="5">AE10-P10</f>
        <v>#REF!</v>
      </c>
      <c r="AG10" s="291" t="e">
        <f t="shared" ref="AG10:AG23" si="6">+AH10+AI10+AJ10+AK10+AL10+AM10+AN10+AP10+AQ10+AO10</f>
        <v>#REF!</v>
      </c>
      <c r="AH10" s="291" t="e">
        <f>+'48-CK NSNN'!#REF!</f>
        <v>#REF!</v>
      </c>
      <c r="AI10" s="291" t="e">
        <f>+'48-CK NSNN'!#REF!</f>
        <v>#REF!</v>
      </c>
      <c r="AJ10" s="291" t="e">
        <f>+'48-CK NSNN'!#REF!</f>
        <v>#REF!</v>
      </c>
      <c r="AK10" s="291"/>
      <c r="AL10" s="291" t="e">
        <f>+'48-CK NSNN'!#REF!</f>
        <v>#REF!</v>
      </c>
      <c r="AM10" s="291">
        <f t="shared" ref="AM10:AM23" si="7">AR10*0.3</f>
        <v>0</v>
      </c>
      <c r="AN10" s="291" t="e">
        <f t="shared" ref="AN10:AN23" si="8">J10</f>
        <v>#REF!</v>
      </c>
      <c r="AO10" s="291" t="e">
        <f>+'48-CK NSNN'!#REF!</f>
        <v>#REF!</v>
      </c>
      <c r="AP10" s="291" t="e">
        <f t="shared" ref="AP10:AP23" si="9">S10</f>
        <v>#REF!</v>
      </c>
      <c r="AQ10" s="291"/>
      <c r="AR10" s="291"/>
      <c r="AS10" s="291"/>
      <c r="AT10" s="291"/>
    </row>
    <row r="11" spans="1:50">
      <c r="A11" s="265">
        <v>3</v>
      </c>
      <c r="B11" s="266" t="s">
        <v>918</v>
      </c>
      <c r="C11" s="290" t="e">
        <f t="shared" si="2"/>
        <v>#REF!</v>
      </c>
      <c r="D11" s="290" t="e">
        <f t="shared" si="3"/>
        <v>#REF!</v>
      </c>
      <c r="E11" s="290">
        <f>+'[19]16-ThuNSNN2018'!$I$12</f>
        <v>0</v>
      </c>
      <c r="F11" s="290">
        <f>+'[19]16-ThuNSNN2018'!$I$17</f>
        <v>11300</v>
      </c>
      <c r="G11" s="290">
        <f>+'[19]16-ThuNSNN2018'!$I$22</f>
        <v>0</v>
      </c>
      <c r="H11" s="290">
        <f>+'[19]16-ThuNSNN2018'!$I$29</f>
        <v>214600</v>
      </c>
      <c r="I11" s="290" t="e">
        <f>+'48-CK NSNN'!#REF!</f>
        <v>#REF!</v>
      </c>
      <c r="J11" s="290" t="e">
        <f>+'48-CK NSNN'!#REF!</f>
        <v>#REF!</v>
      </c>
      <c r="K11" s="290" t="e">
        <f>+'48-CK NSNN'!#REF!</f>
        <v>#REF!</v>
      </c>
      <c r="L11" s="290" t="e">
        <f>+'48-CK NSNN'!#REF!</f>
        <v>#REF!</v>
      </c>
      <c r="M11" s="290">
        <f>+'[19]16-ThuNSNN2018'!$I$46</f>
        <v>0</v>
      </c>
      <c r="N11" s="290" t="e">
        <f>+'48-CK NSNN'!#REF!</f>
        <v>#REF!</v>
      </c>
      <c r="O11" s="290" t="e">
        <f>+'48-CK NSNN'!#REF!</f>
        <v>#REF!</v>
      </c>
      <c r="P11" s="290" t="e">
        <f>+'48-CK NSNN'!#REF!</f>
        <v>#REF!</v>
      </c>
      <c r="Q11" s="290">
        <f>+'[19]16-ThuNSNN2018'!$I$51</f>
        <v>0</v>
      </c>
      <c r="R11" s="290">
        <f>+'[19]16-ThuNSNN2018'!$I$57</f>
        <v>0</v>
      </c>
      <c r="S11" s="290">
        <f>+'[19]16-ThuNSNN2018'!$I$72</f>
        <v>0</v>
      </c>
      <c r="T11" s="290" t="e">
        <f>+'48-CK NSNN'!#REF!</f>
        <v>#REF!</v>
      </c>
      <c r="U11" s="290" t="e">
        <f>+'48-CK NSNN'!#REF!</f>
        <v>#REF!</v>
      </c>
      <c r="V11" s="290"/>
      <c r="W11" s="290"/>
      <c r="X11" s="266"/>
      <c r="Y11" s="266"/>
      <c r="Z11" s="266"/>
      <c r="AA11" s="266"/>
      <c r="AB11" s="266"/>
      <c r="AC11" s="266"/>
      <c r="AD11" s="268"/>
      <c r="AE11" s="291" t="e">
        <f>C11-AG11</f>
        <v>#REF!</v>
      </c>
      <c r="AF11" s="291" t="e">
        <f t="shared" si="5"/>
        <v>#REF!</v>
      </c>
      <c r="AG11" s="291" t="e">
        <f t="shared" si="6"/>
        <v>#REF!</v>
      </c>
      <c r="AH11" s="291" t="e">
        <f>+'48-CK NSNN'!#REF!</f>
        <v>#REF!</v>
      </c>
      <c r="AI11" s="291" t="e">
        <f>+'48-CK NSNN'!#REF!</f>
        <v>#REF!</v>
      </c>
      <c r="AJ11" s="291" t="e">
        <f>+'48-CK NSNN'!#REF!</f>
        <v>#REF!</v>
      </c>
      <c r="AK11" s="291"/>
      <c r="AL11" s="291" t="e">
        <f>+'48-CK NSNN'!#REF!</f>
        <v>#REF!</v>
      </c>
      <c r="AM11" s="291">
        <f t="shared" si="7"/>
        <v>0</v>
      </c>
      <c r="AN11" s="291" t="e">
        <f t="shared" si="8"/>
        <v>#REF!</v>
      </c>
      <c r="AO11" s="291" t="e">
        <f>+'48-CK NSNN'!#REF!</f>
        <v>#REF!</v>
      </c>
      <c r="AP11" s="291">
        <f t="shared" si="9"/>
        <v>0</v>
      </c>
      <c r="AQ11" s="291"/>
      <c r="AR11" s="291"/>
      <c r="AS11" s="291"/>
      <c r="AT11" s="291"/>
    </row>
    <row r="12" spans="1:50">
      <c r="A12" s="265">
        <v>4</v>
      </c>
      <c r="B12" s="266" t="s">
        <v>919</v>
      </c>
      <c r="C12" s="290" t="e">
        <f t="shared" si="2"/>
        <v>#REF!</v>
      </c>
      <c r="D12" s="290" t="e">
        <f t="shared" si="3"/>
        <v>#REF!</v>
      </c>
      <c r="E12" s="290" t="e">
        <f>+'48-CK NSNN'!#REF!</f>
        <v>#REF!</v>
      </c>
      <c r="F12" s="290" t="e">
        <f>+'48-CK NSNN'!#REF!</f>
        <v>#REF!</v>
      </c>
      <c r="G12" s="290" t="e">
        <f>+'48-CK NSNN'!#REF!</f>
        <v>#REF!</v>
      </c>
      <c r="H12" s="290" t="e">
        <f>+'48-CK NSNN'!#REF!</f>
        <v>#REF!</v>
      </c>
      <c r="I12" s="290" t="e">
        <f>+'48-CK NSNN'!#REF!</f>
        <v>#REF!</v>
      </c>
      <c r="J12" s="290" t="e">
        <f>+'48-CK NSNN'!#REF!</f>
        <v>#REF!</v>
      </c>
      <c r="K12" s="290" t="e">
        <f>+'48-CK NSNN'!#REF!</f>
        <v>#REF!</v>
      </c>
      <c r="L12" s="290" t="e">
        <f>+'48-CK NSNN'!#REF!</f>
        <v>#REF!</v>
      </c>
      <c r="M12" s="290" t="e">
        <f>+'48-CK NSNN'!#REF!</f>
        <v>#REF!</v>
      </c>
      <c r="N12" s="290" t="e">
        <f>+'48-CK NSNN'!#REF!</f>
        <v>#REF!</v>
      </c>
      <c r="O12" s="290" t="e">
        <f>+'48-CK NSNN'!#REF!</f>
        <v>#REF!</v>
      </c>
      <c r="P12" s="290" t="e">
        <f>+'48-CK NSNN'!#REF!</f>
        <v>#REF!</v>
      </c>
      <c r="Q12" s="290" t="e">
        <f>+'48-CK NSNN'!#REF!</f>
        <v>#REF!</v>
      </c>
      <c r="R12" s="290" t="e">
        <f>+'48-CK NSNN'!#REF!</f>
        <v>#REF!</v>
      </c>
      <c r="S12" s="290" t="e">
        <f>+'48-CK NSNN'!#REF!</f>
        <v>#REF!</v>
      </c>
      <c r="T12" s="290" t="e">
        <f>+'48-CK NSNN'!#REF!</f>
        <v>#REF!</v>
      </c>
      <c r="U12" s="290" t="e">
        <f>+'48-CK NSNN'!#REF!</f>
        <v>#REF!</v>
      </c>
      <c r="V12" s="290"/>
      <c r="W12" s="290"/>
      <c r="X12" s="266"/>
      <c r="Y12" s="266"/>
      <c r="Z12" s="266"/>
      <c r="AA12" s="266"/>
      <c r="AB12" s="266"/>
      <c r="AC12" s="266"/>
      <c r="AD12" s="268"/>
      <c r="AE12" s="291" t="e">
        <f t="shared" si="4"/>
        <v>#REF!</v>
      </c>
      <c r="AF12" s="291" t="e">
        <f t="shared" si="5"/>
        <v>#REF!</v>
      </c>
      <c r="AG12" s="291" t="e">
        <f>+AH12+AI12+AJ12+AK12+AL12+AM12+AN12+AP12+AQ12+AO12</f>
        <v>#REF!</v>
      </c>
      <c r="AH12" s="291" t="e">
        <f>+'48-CK NSNN'!#REF!</f>
        <v>#REF!</v>
      </c>
      <c r="AI12" s="291" t="e">
        <f>+'48-CK NSNN'!#REF!</f>
        <v>#REF!</v>
      </c>
      <c r="AJ12" s="291" t="e">
        <f>+'48-CK NSNN'!#REF!</f>
        <v>#REF!</v>
      </c>
      <c r="AK12" s="291"/>
      <c r="AL12" s="291" t="e">
        <f>+'48-CK NSNN'!#REF!</f>
        <v>#REF!</v>
      </c>
      <c r="AM12" s="291">
        <f t="shared" si="7"/>
        <v>0</v>
      </c>
      <c r="AN12" s="291" t="e">
        <f t="shared" si="8"/>
        <v>#REF!</v>
      </c>
      <c r="AO12" s="291" t="e">
        <f>+'48-CK NSNN'!#REF!</f>
        <v>#REF!</v>
      </c>
      <c r="AP12" s="291" t="e">
        <f t="shared" si="9"/>
        <v>#REF!</v>
      </c>
      <c r="AQ12" s="291"/>
      <c r="AR12" s="291"/>
      <c r="AS12" s="291"/>
      <c r="AT12" s="291"/>
    </row>
    <row r="13" spans="1:50">
      <c r="A13" s="265">
        <v>5</v>
      </c>
      <c r="B13" s="266" t="s">
        <v>920</v>
      </c>
      <c r="C13" s="290" t="e">
        <f t="shared" si="2"/>
        <v>#REF!</v>
      </c>
      <c r="D13" s="290" t="e">
        <f t="shared" si="3"/>
        <v>#REF!</v>
      </c>
      <c r="E13" s="290" t="e">
        <f>+'48-CK NSNN'!#REF!</f>
        <v>#REF!</v>
      </c>
      <c r="F13" s="290" t="e">
        <f>+'48-CK NSNN'!#REF!</f>
        <v>#REF!</v>
      </c>
      <c r="G13" s="290" t="e">
        <f>+'48-CK NSNN'!#REF!</f>
        <v>#REF!</v>
      </c>
      <c r="H13" s="290" t="e">
        <f>+'48-CK NSNN'!#REF!</f>
        <v>#REF!</v>
      </c>
      <c r="I13" s="290" t="e">
        <f>+'48-CK NSNN'!#REF!</f>
        <v>#REF!</v>
      </c>
      <c r="J13" s="290" t="e">
        <f>+'48-CK NSNN'!#REF!</f>
        <v>#REF!</v>
      </c>
      <c r="K13" s="290" t="e">
        <f>+'48-CK NSNN'!#REF!</f>
        <v>#REF!</v>
      </c>
      <c r="L13" s="290" t="e">
        <f>+'48-CK NSNN'!#REF!</f>
        <v>#REF!</v>
      </c>
      <c r="M13" s="290" t="e">
        <f>+'48-CK NSNN'!#REF!</f>
        <v>#REF!</v>
      </c>
      <c r="N13" s="290" t="e">
        <f>+'48-CK NSNN'!#REF!</f>
        <v>#REF!</v>
      </c>
      <c r="O13" s="290" t="e">
        <f>+'48-CK NSNN'!#REF!</f>
        <v>#REF!</v>
      </c>
      <c r="P13" s="290" t="e">
        <f>+'48-CK NSNN'!#REF!</f>
        <v>#REF!</v>
      </c>
      <c r="Q13" s="290" t="e">
        <f>+'48-CK NSNN'!#REF!</f>
        <v>#REF!</v>
      </c>
      <c r="R13" s="290" t="e">
        <f>+'48-CK NSNN'!#REF!</f>
        <v>#REF!</v>
      </c>
      <c r="S13" s="290" t="e">
        <f>+'48-CK NSNN'!#REF!</f>
        <v>#REF!</v>
      </c>
      <c r="T13" s="290" t="e">
        <f>+'48-CK NSNN'!#REF!</f>
        <v>#REF!</v>
      </c>
      <c r="U13" s="290" t="e">
        <f>+'48-CK NSNN'!#REF!</f>
        <v>#REF!</v>
      </c>
      <c r="V13" s="290"/>
      <c r="W13" s="290"/>
      <c r="X13" s="266"/>
      <c r="Y13" s="266"/>
      <c r="Z13" s="266"/>
      <c r="AA13" s="266"/>
      <c r="AB13" s="266"/>
      <c r="AC13" s="266"/>
      <c r="AD13" s="268"/>
      <c r="AE13" s="291" t="e">
        <f t="shared" si="4"/>
        <v>#REF!</v>
      </c>
      <c r="AF13" s="291" t="e">
        <f t="shared" si="5"/>
        <v>#REF!</v>
      </c>
      <c r="AG13" s="291" t="e">
        <f t="shared" si="6"/>
        <v>#REF!</v>
      </c>
      <c r="AH13" s="291" t="e">
        <f>+'48-CK NSNN'!#REF!</f>
        <v>#REF!</v>
      </c>
      <c r="AI13" s="291" t="e">
        <f>+'48-CK NSNN'!#REF!</f>
        <v>#REF!</v>
      </c>
      <c r="AJ13" s="291" t="e">
        <f>+'48-CK NSNN'!#REF!</f>
        <v>#REF!</v>
      </c>
      <c r="AK13" s="291"/>
      <c r="AL13" s="291" t="e">
        <f>+'48-CK NSNN'!#REF!</f>
        <v>#REF!</v>
      </c>
      <c r="AM13" s="291">
        <f t="shared" si="7"/>
        <v>0</v>
      </c>
      <c r="AN13" s="291" t="e">
        <f t="shared" si="8"/>
        <v>#REF!</v>
      </c>
      <c r="AO13" s="291" t="e">
        <f>+'48-CK NSNN'!#REF!</f>
        <v>#REF!</v>
      </c>
      <c r="AP13" s="291" t="e">
        <f t="shared" si="9"/>
        <v>#REF!</v>
      </c>
      <c r="AQ13" s="291"/>
      <c r="AR13" s="291"/>
      <c r="AS13" s="291"/>
      <c r="AT13" s="291"/>
    </row>
    <row r="14" spans="1:50" ht="30">
      <c r="A14" s="265">
        <v>6</v>
      </c>
      <c r="B14" s="266" t="s">
        <v>921</v>
      </c>
      <c r="C14" s="290" t="e">
        <f t="shared" si="2"/>
        <v>#REF!</v>
      </c>
      <c r="D14" s="290" t="e">
        <f t="shared" si="3"/>
        <v>#REF!</v>
      </c>
      <c r="E14" s="290" t="e">
        <f>+'48-CK NSNN'!#REF!</f>
        <v>#REF!</v>
      </c>
      <c r="F14" s="290" t="e">
        <f>+'48-CK NSNN'!#REF!</f>
        <v>#REF!</v>
      </c>
      <c r="G14" s="290" t="e">
        <f>+'48-CK NSNN'!#REF!</f>
        <v>#REF!</v>
      </c>
      <c r="H14" s="290" t="e">
        <f>+'48-CK NSNN'!#REF!</f>
        <v>#REF!</v>
      </c>
      <c r="I14" s="290" t="e">
        <f>+'48-CK NSNN'!#REF!</f>
        <v>#REF!</v>
      </c>
      <c r="J14" s="290" t="e">
        <f>+'48-CK NSNN'!#REF!</f>
        <v>#REF!</v>
      </c>
      <c r="K14" s="290" t="e">
        <f>+'48-CK NSNN'!#REF!</f>
        <v>#REF!</v>
      </c>
      <c r="L14" s="290" t="e">
        <f>+'48-CK NSNN'!#REF!</f>
        <v>#REF!</v>
      </c>
      <c r="M14" s="290" t="e">
        <f>+'48-CK NSNN'!#REF!</f>
        <v>#REF!</v>
      </c>
      <c r="N14" s="290" t="e">
        <f>+'48-CK NSNN'!#REF!</f>
        <v>#REF!</v>
      </c>
      <c r="O14" s="290" t="e">
        <f>+'48-CK NSNN'!#REF!</f>
        <v>#REF!</v>
      </c>
      <c r="P14" s="290" t="e">
        <f>+'48-CK NSNN'!#REF!</f>
        <v>#REF!</v>
      </c>
      <c r="Q14" s="290" t="e">
        <f>+'48-CK NSNN'!#REF!</f>
        <v>#REF!</v>
      </c>
      <c r="R14" s="290" t="e">
        <f>+'48-CK NSNN'!#REF!</f>
        <v>#REF!</v>
      </c>
      <c r="S14" s="290" t="e">
        <f>+'48-CK NSNN'!#REF!</f>
        <v>#REF!</v>
      </c>
      <c r="T14" s="290" t="e">
        <f>+'48-CK NSNN'!#REF!</f>
        <v>#REF!</v>
      </c>
      <c r="U14" s="290" t="e">
        <f>+'48-CK NSNN'!#REF!</f>
        <v>#REF!</v>
      </c>
      <c r="V14" s="290"/>
      <c r="W14" s="290"/>
      <c r="X14" s="266"/>
      <c r="Y14" s="266"/>
      <c r="Z14" s="266"/>
      <c r="AA14" s="266"/>
      <c r="AB14" s="266"/>
      <c r="AC14" s="266"/>
      <c r="AD14" s="268"/>
      <c r="AE14" s="291" t="e">
        <f t="shared" si="4"/>
        <v>#REF!</v>
      </c>
      <c r="AF14" s="291" t="e">
        <f t="shared" si="5"/>
        <v>#REF!</v>
      </c>
      <c r="AG14" s="291" t="e">
        <f t="shared" si="6"/>
        <v>#REF!</v>
      </c>
      <c r="AH14" s="291" t="e">
        <f>+'48-CK NSNN'!#REF!</f>
        <v>#REF!</v>
      </c>
      <c r="AI14" s="291" t="e">
        <f>+'48-CK NSNN'!#REF!</f>
        <v>#REF!</v>
      </c>
      <c r="AJ14" s="291" t="e">
        <f>+'48-CK NSNN'!#REF!</f>
        <v>#REF!</v>
      </c>
      <c r="AK14" s="291"/>
      <c r="AL14" s="291" t="e">
        <f>+'48-CK NSNN'!#REF!</f>
        <v>#REF!</v>
      </c>
      <c r="AM14" s="291">
        <f t="shared" si="7"/>
        <v>0</v>
      </c>
      <c r="AN14" s="291" t="e">
        <f t="shared" si="8"/>
        <v>#REF!</v>
      </c>
      <c r="AO14" s="291" t="e">
        <f>+'48-CK NSNN'!#REF!</f>
        <v>#REF!</v>
      </c>
      <c r="AP14" s="291" t="e">
        <f t="shared" si="9"/>
        <v>#REF!</v>
      </c>
      <c r="AQ14" s="291"/>
      <c r="AR14" s="291"/>
      <c r="AS14" s="291"/>
      <c r="AT14" s="291"/>
    </row>
    <row r="15" spans="1:50">
      <c r="A15" s="265">
        <v>7</v>
      </c>
      <c r="B15" s="266" t="s">
        <v>922</v>
      </c>
      <c r="C15" s="290" t="e">
        <f t="shared" si="2"/>
        <v>#REF!</v>
      </c>
      <c r="D15" s="290" t="e">
        <f t="shared" si="3"/>
        <v>#REF!</v>
      </c>
      <c r="E15" s="290" t="e">
        <f>+'48-CK NSNN'!#REF!</f>
        <v>#REF!</v>
      </c>
      <c r="F15" s="290" t="e">
        <f>+'48-CK NSNN'!#REF!</f>
        <v>#REF!</v>
      </c>
      <c r="G15" s="290" t="e">
        <f>+'48-CK NSNN'!#REF!</f>
        <v>#REF!</v>
      </c>
      <c r="H15" s="290" t="e">
        <f>+'48-CK NSNN'!#REF!</f>
        <v>#REF!</v>
      </c>
      <c r="I15" s="290" t="e">
        <f>+'48-CK NSNN'!#REF!</f>
        <v>#REF!</v>
      </c>
      <c r="J15" s="290" t="e">
        <f>+'48-CK NSNN'!#REF!</f>
        <v>#REF!</v>
      </c>
      <c r="K15" s="290" t="e">
        <f>+'48-CK NSNN'!#REF!</f>
        <v>#REF!</v>
      </c>
      <c r="L15" s="290" t="e">
        <f>+'48-CK NSNN'!#REF!</f>
        <v>#REF!</v>
      </c>
      <c r="M15" s="290" t="e">
        <f>+'48-CK NSNN'!#REF!</f>
        <v>#REF!</v>
      </c>
      <c r="N15" s="290" t="e">
        <f>+'48-CK NSNN'!#REF!</f>
        <v>#REF!</v>
      </c>
      <c r="O15" s="290" t="e">
        <f>+'48-CK NSNN'!#REF!</f>
        <v>#REF!</v>
      </c>
      <c r="P15" s="290" t="e">
        <f>+'48-CK NSNN'!#REF!</f>
        <v>#REF!</v>
      </c>
      <c r="Q15" s="290" t="e">
        <f>+'48-CK NSNN'!#REF!</f>
        <v>#REF!</v>
      </c>
      <c r="R15" s="290" t="e">
        <f>+'48-CK NSNN'!#REF!</f>
        <v>#REF!</v>
      </c>
      <c r="S15" s="290" t="e">
        <f>+'48-CK NSNN'!#REF!</f>
        <v>#REF!</v>
      </c>
      <c r="T15" s="290" t="e">
        <f>+'48-CK NSNN'!#REF!</f>
        <v>#REF!</v>
      </c>
      <c r="U15" s="290" t="e">
        <f>+'48-CK NSNN'!#REF!</f>
        <v>#REF!</v>
      </c>
      <c r="V15" s="290"/>
      <c r="W15" s="290"/>
      <c r="X15" s="266"/>
      <c r="Y15" s="266"/>
      <c r="Z15" s="266"/>
      <c r="AA15" s="266"/>
      <c r="AB15" s="266"/>
      <c r="AC15" s="266"/>
      <c r="AD15" s="268"/>
      <c r="AE15" s="291" t="e">
        <f>C15-AG15</f>
        <v>#REF!</v>
      </c>
      <c r="AF15" s="291" t="e">
        <f t="shared" si="5"/>
        <v>#REF!</v>
      </c>
      <c r="AG15" s="291" t="e">
        <f>+AH15+AI15+AJ15+AK15+AL15+AM15+AN15+AP15+AQ15+AO15</f>
        <v>#REF!</v>
      </c>
      <c r="AH15" s="291" t="e">
        <f>+'48-CK NSNN'!#REF!</f>
        <v>#REF!</v>
      </c>
      <c r="AI15" s="291" t="e">
        <f>+'48-CK NSNN'!#REF!</f>
        <v>#REF!</v>
      </c>
      <c r="AJ15" s="291" t="e">
        <f>+'48-CK NSNN'!#REF!</f>
        <v>#REF!</v>
      </c>
      <c r="AK15" s="291"/>
      <c r="AL15" s="291" t="e">
        <f>+'48-CK NSNN'!#REF!</f>
        <v>#REF!</v>
      </c>
      <c r="AM15" s="291">
        <f t="shared" si="7"/>
        <v>0</v>
      </c>
      <c r="AN15" s="291" t="e">
        <f t="shared" si="8"/>
        <v>#REF!</v>
      </c>
      <c r="AO15" s="291" t="e">
        <f>+'48-CK NSNN'!#REF!</f>
        <v>#REF!</v>
      </c>
      <c r="AP15" s="291" t="e">
        <f t="shared" si="9"/>
        <v>#REF!</v>
      </c>
      <c r="AQ15" s="291"/>
      <c r="AR15" s="291"/>
      <c r="AS15" s="291"/>
      <c r="AT15" s="291"/>
    </row>
    <row r="16" spans="1:50">
      <c r="A16" s="265">
        <v>8</v>
      </c>
      <c r="B16" s="266" t="s">
        <v>923</v>
      </c>
      <c r="C16" s="290" t="e">
        <f t="shared" si="2"/>
        <v>#REF!</v>
      </c>
      <c r="D16" s="290" t="e">
        <f t="shared" si="3"/>
        <v>#REF!</v>
      </c>
      <c r="E16" s="290" t="e">
        <f>+'48-CK NSNN'!#REF!</f>
        <v>#REF!</v>
      </c>
      <c r="F16" s="290" t="e">
        <f>+'48-CK NSNN'!#REF!</f>
        <v>#REF!</v>
      </c>
      <c r="G16" s="290" t="e">
        <f>+'48-CK NSNN'!#REF!</f>
        <v>#REF!</v>
      </c>
      <c r="H16" s="290" t="e">
        <f>+'48-CK NSNN'!#REF!</f>
        <v>#REF!</v>
      </c>
      <c r="I16" s="290" t="e">
        <f>+'48-CK NSNN'!#REF!</f>
        <v>#REF!</v>
      </c>
      <c r="J16" s="290" t="e">
        <f>+'48-CK NSNN'!#REF!</f>
        <v>#REF!</v>
      </c>
      <c r="K16" s="290" t="e">
        <f>+'48-CK NSNN'!#REF!</f>
        <v>#REF!</v>
      </c>
      <c r="L16" s="290" t="e">
        <f>+'48-CK NSNN'!#REF!</f>
        <v>#REF!</v>
      </c>
      <c r="M16" s="290" t="e">
        <f>+'48-CK NSNN'!#REF!</f>
        <v>#REF!</v>
      </c>
      <c r="N16" s="290" t="e">
        <f>+'48-CK NSNN'!#REF!</f>
        <v>#REF!</v>
      </c>
      <c r="O16" s="290" t="e">
        <f>+'48-CK NSNN'!#REF!</f>
        <v>#REF!</v>
      </c>
      <c r="P16" s="290" t="e">
        <f>+'48-CK NSNN'!#REF!</f>
        <v>#REF!</v>
      </c>
      <c r="Q16" s="290" t="e">
        <f>+'48-CK NSNN'!#REF!</f>
        <v>#REF!</v>
      </c>
      <c r="R16" s="290" t="e">
        <f>+'48-CK NSNN'!#REF!</f>
        <v>#REF!</v>
      </c>
      <c r="S16" s="290" t="e">
        <f>+'48-CK NSNN'!#REF!</f>
        <v>#REF!</v>
      </c>
      <c r="T16" s="290" t="e">
        <f>+'48-CK NSNN'!#REF!</f>
        <v>#REF!</v>
      </c>
      <c r="U16" s="290" t="e">
        <f>+'48-CK NSNN'!#REF!</f>
        <v>#REF!</v>
      </c>
      <c r="V16" s="290"/>
      <c r="W16" s="290"/>
      <c r="X16" s="266"/>
      <c r="Y16" s="266"/>
      <c r="Z16" s="266"/>
      <c r="AA16" s="266"/>
      <c r="AB16" s="266"/>
      <c r="AC16" s="266"/>
      <c r="AD16" s="268"/>
      <c r="AE16" s="291" t="e">
        <f t="shared" si="4"/>
        <v>#REF!</v>
      </c>
      <c r="AF16" s="291" t="e">
        <f t="shared" si="5"/>
        <v>#REF!</v>
      </c>
      <c r="AG16" s="291" t="e">
        <f t="shared" si="6"/>
        <v>#REF!</v>
      </c>
      <c r="AH16" s="291" t="e">
        <f>+'48-CK NSNN'!#REF!</f>
        <v>#REF!</v>
      </c>
      <c r="AI16" s="291" t="e">
        <f>+'48-CK NSNN'!#REF!</f>
        <v>#REF!</v>
      </c>
      <c r="AJ16" s="291" t="e">
        <f>+'48-CK NSNN'!#REF!</f>
        <v>#REF!</v>
      </c>
      <c r="AK16" s="291"/>
      <c r="AL16" s="291" t="e">
        <f>+'48-CK NSNN'!#REF!</f>
        <v>#REF!</v>
      </c>
      <c r="AM16" s="291">
        <f t="shared" si="7"/>
        <v>0</v>
      </c>
      <c r="AN16" s="291" t="e">
        <f t="shared" si="8"/>
        <v>#REF!</v>
      </c>
      <c r="AO16" s="291" t="e">
        <f>+'48-CK NSNN'!#REF!</f>
        <v>#REF!</v>
      </c>
      <c r="AP16" s="291" t="e">
        <f t="shared" si="9"/>
        <v>#REF!</v>
      </c>
      <c r="AQ16" s="291"/>
      <c r="AR16" s="291"/>
      <c r="AS16" s="291"/>
      <c r="AT16" s="291"/>
    </row>
    <row r="17" spans="1:46">
      <c r="A17" s="265">
        <v>9</v>
      </c>
      <c r="B17" s="266" t="s">
        <v>924</v>
      </c>
      <c r="C17" s="290" t="e">
        <f t="shared" si="2"/>
        <v>#REF!</v>
      </c>
      <c r="D17" s="290" t="e">
        <f t="shared" si="3"/>
        <v>#REF!</v>
      </c>
      <c r="E17" s="290" t="e">
        <f>+'48-CK NSNN'!#REF!</f>
        <v>#REF!</v>
      </c>
      <c r="F17" s="290" t="e">
        <f>+'48-CK NSNN'!#REF!</f>
        <v>#REF!</v>
      </c>
      <c r="G17" s="290" t="e">
        <f>+'48-CK NSNN'!#REF!</f>
        <v>#REF!</v>
      </c>
      <c r="H17" s="290" t="e">
        <f>+'48-CK NSNN'!#REF!</f>
        <v>#REF!</v>
      </c>
      <c r="I17" s="290" t="e">
        <f>+'48-CK NSNN'!#REF!</f>
        <v>#REF!</v>
      </c>
      <c r="J17" s="290" t="e">
        <f>+'48-CK NSNN'!#REF!</f>
        <v>#REF!</v>
      </c>
      <c r="K17" s="290" t="e">
        <f>+'48-CK NSNN'!#REF!</f>
        <v>#REF!</v>
      </c>
      <c r="L17" s="290" t="e">
        <f>+'48-CK NSNN'!#REF!</f>
        <v>#REF!</v>
      </c>
      <c r="M17" s="290" t="e">
        <f>+'48-CK NSNN'!#REF!</f>
        <v>#REF!</v>
      </c>
      <c r="N17" s="290" t="e">
        <f>+'48-CK NSNN'!#REF!</f>
        <v>#REF!</v>
      </c>
      <c r="O17" s="290" t="e">
        <f>+'48-CK NSNN'!#REF!</f>
        <v>#REF!</v>
      </c>
      <c r="P17" s="290" t="e">
        <f>+'48-CK NSNN'!#REF!</f>
        <v>#REF!</v>
      </c>
      <c r="Q17" s="290" t="e">
        <f>+'48-CK NSNN'!#REF!</f>
        <v>#REF!</v>
      </c>
      <c r="R17" s="290" t="e">
        <f>+'48-CK NSNN'!#REF!</f>
        <v>#REF!</v>
      </c>
      <c r="S17" s="290" t="e">
        <f>+'48-CK NSNN'!#REF!</f>
        <v>#REF!</v>
      </c>
      <c r="T17" s="290" t="e">
        <f>+'48-CK NSNN'!#REF!</f>
        <v>#REF!</v>
      </c>
      <c r="U17" s="290" t="e">
        <f>+'48-CK NSNN'!#REF!</f>
        <v>#REF!</v>
      </c>
      <c r="V17" s="290"/>
      <c r="W17" s="290"/>
      <c r="X17" s="266"/>
      <c r="Y17" s="266"/>
      <c r="Z17" s="266"/>
      <c r="AA17" s="266"/>
      <c r="AB17" s="266"/>
      <c r="AC17" s="266"/>
      <c r="AD17" s="268"/>
      <c r="AE17" s="291" t="e">
        <f t="shared" si="4"/>
        <v>#REF!</v>
      </c>
      <c r="AF17" s="291" t="e">
        <f t="shared" si="5"/>
        <v>#REF!</v>
      </c>
      <c r="AG17" s="291" t="e">
        <f t="shared" si="6"/>
        <v>#REF!</v>
      </c>
      <c r="AH17" s="291" t="e">
        <f>+'48-CK NSNN'!#REF!</f>
        <v>#REF!</v>
      </c>
      <c r="AI17" s="291" t="e">
        <f>+'48-CK NSNN'!#REF!</f>
        <v>#REF!</v>
      </c>
      <c r="AJ17" s="291" t="e">
        <f>+'48-CK NSNN'!#REF!</f>
        <v>#REF!</v>
      </c>
      <c r="AK17" s="291"/>
      <c r="AL17" s="291" t="e">
        <f>+'48-CK NSNN'!#REF!</f>
        <v>#REF!</v>
      </c>
      <c r="AM17" s="291">
        <f t="shared" si="7"/>
        <v>0</v>
      </c>
      <c r="AN17" s="291" t="e">
        <f t="shared" si="8"/>
        <v>#REF!</v>
      </c>
      <c r="AO17" s="291" t="e">
        <f>+'48-CK NSNN'!#REF!</f>
        <v>#REF!</v>
      </c>
      <c r="AP17" s="291" t="e">
        <f t="shared" si="9"/>
        <v>#REF!</v>
      </c>
      <c r="AQ17" s="291"/>
      <c r="AR17" s="291"/>
      <c r="AS17" s="291"/>
      <c r="AT17" s="291"/>
    </row>
    <row r="18" spans="1:46">
      <c r="A18" s="265">
        <v>10</v>
      </c>
      <c r="B18" s="266" t="s">
        <v>925</v>
      </c>
      <c r="C18" s="290" t="e">
        <f t="shared" si="2"/>
        <v>#REF!</v>
      </c>
      <c r="D18" s="290" t="e">
        <f t="shared" si="3"/>
        <v>#REF!</v>
      </c>
      <c r="E18" s="290" t="e">
        <f>+'48-CK NSNN'!#REF!</f>
        <v>#REF!</v>
      </c>
      <c r="F18" s="290" t="e">
        <f>+'48-CK NSNN'!#REF!</f>
        <v>#REF!</v>
      </c>
      <c r="G18" s="290" t="e">
        <f>+'48-CK NSNN'!#REF!</f>
        <v>#REF!</v>
      </c>
      <c r="H18" s="290" t="e">
        <f>+'48-CK NSNN'!#REF!</f>
        <v>#REF!</v>
      </c>
      <c r="I18" s="290" t="e">
        <f>+'48-CK NSNN'!#REF!</f>
        <v>#REF!</v>
      </c>
      <c r="J18" s="290" t="e">
        <f>+'48-CK NSNN'!#REF!</f>
        <v>#REF!</v>
      </c>
      <c r="K18" s="290" t="e">
        <f>+'48-CK NSNN'!#REF!</f>
        <v>#REF!</v>
      </c>
      <c r="L18" s="290" t="e">
        <f>+'48-CK NSNN'!#REF!</f>
        <v>#REF!</v>
      </c>
      <c r="M18" s="290" t="e">
        <f>+'48-CK NSNN'!#REF!</f>
        <v>#REF!</v>
      </c>
      <c r="N18" s="290" t="e">
        <f>+'48-CK NSNN'!#REF!</f>
        <v>#REF!</v>
      </c>
      <c r="O18" s="290" t="e">
        <f>+'48-CK NSNN'!#REF!</f>
        <v>#REF!</v>
      </c>
      <c r="P18" s="290">
        <f>+'[20]16-ThuNSNN2018'!$I$49</f>
        <v>50000</v>
      </c>
      <c r="Q18" s="290" t="e">
        <f>+'48-CK NSNN'!#REF!</f>
        <v>#REF!</v>
      </c>
      <c r="R18" s="290" t="e">
        <f>+'48-CK NSNN'!#REF!</f>
        <v>#REF!</v>
      </c>
      <c r="S18" s="290" t="e">
        <f>+'48-CK NSNN'!#REF!</f>
        <v>#REF!</v>
      </c>
      <c r="T18" s="290" t="e">
        <f>+'48-CK NSNN'!#REF!</f>
        <v>#REF!</v>
      </c>
      <c r="U18" s="290" t="e">
        <f>+'48-CK NSNN'!#REF!</f>
        <v>#REF!</v>
      </c>
      <c r="V18" s="290"/>
      <c r="W18" s="290"/>
      <c r="X18" s="266"/>
      <c r="Y18" s="266"/>
      <c r="Z18" s="266"/>
      <c r="AA18" s="266"/>
      <c r="AB18" s="266"/>
      <c r="AC18" s="266"/>
      <c r="AD18" s="268"/>
      <c r="AE18" s="291" t="e">
        <f t="shared" si="4"/>
        <v>#REF!</v>
      </c>
      <c r="AF18" s="291" t="e">
        <f t="shared" si="5"/>
        <v>#REF!</v>
      </c>
      <c r="AG18" s="291" t="e">
        <f t="shared" si="6"/>
        <v>#REF!</v>
      </c>
      <c r="AH18" s="291" t="e">
        <f>+'48-CK NSNN'!#REF!</f>
        <v>#REF!</v>
      </c>
      <c r="AI18" s="291" t="e">
        <f>+'48-CK NSNN'!#REF!</f>
        <v>#REF!</v>
      </c>
      <c r="AJ18" s="291" t="e">
        <f>+'48-CK NSNN'!#REF!</f>
        <v>#REF!</v>
      </c>
      <c r="AK18" s="291"/>
      <c r="AL18" s="291" t="e">
        <f>+'48-CK NSNN'!#REF!</f>
        <v>#REF!</v>
      </c>
      <c r="AM18" s="291">
        <f t="shared" si="7"/>
        <v>0</v>
      </c>
      <c r="AN18" s="291" t="e">
        <f t="shared" si="8"/>
        <v>#REF!</v>
      </c>
      <c r="AO18" s="291" t="e">
        <f>+'48-CK NSNN'!#REF!</f>
        <v>#REF!</v>
      </c>
      <c r="AP18" s="291" t="e">
        <f t="shared" si="9"/>
        <v>#REF!</v>
      </c>
      <c r="AQ18" s="291"/>
      <c r="AR18" s="291"/>
      <c r="AS18" s="291"/>
      <c r="AT18" s="291"/>
    </row>
    <row r="19" spans="1:46">
      <c r="A19" s="265">
        <v>11</v>
      </c>
      <c r="B19" s="266" t="s">
        <v>926</v>
      </c>
      <c r="C19" s="290" t="e">
        <f t="shared" si="2"/>
        <v>#REF!</v>
      </c>
      <c r="D19" s="290" t="e">
        <f t="shared" si="3"/>
        <v>#REF!</v>
      </c>
      <c r="E19" s="290" t="e">
        <f>+'48-CK NSNN'!#REF!</f>
        <v>#REF!</v>
      </c>
      <c r="F19" s="290" t="e">
        <f>+'48-CK NSNN'!#REF!</f>
        <v>#REF!</v>
      </c>
      <c r="G19" s="290" t="e">
        <f>+'48-CK NSNN'!#REF!</f>
        <v>#REF!</v>
      </c>
      <c r="H19" s="290" t="e">
        <f>+'48-CK NSNN'!#REF!</f>
        <v>#REF!</v>
      </c>
      <c r="I19" s="290" t="e">
        <f>+'48-CK NSNN'!#REF!</f>
        <v>#REF!</v>
      </c>
      <c r="J19" s="290" t="e">
        <f>+'48-CK NSNN'!#REF!</f>
        <v>#REF!</v>
      </c>
      <c r="K19" s="290" t="e">
        <f>+'48-CK NSNN'!#REF!</f>
        <v>#REF!</v>
      </c>
      <c r="L19" s="290" t="e">
        <f>+'48-CK NSNN'!#REF!</f>
        <v>#REF!</v>
      </c>
      <c r="M19" s="290" t="e">
        <f>+'48-CK NSNN'!#REF!</f>
        <v>#REF!</v>
      </c>
      <c r="N19" s="290" t="e">
        <f>+'48-CK NSNN'!#REF!</f>
        <v>#REF!</v>
      </c>
      <c r="O19" s="290" t="e">
        <f>+'48-CK NSNN'!#REF!</f>
        <v>#REF!</v>
      </c>
      <c r="P19" s="290" t="e">
        <f>+'48-CK NSNN'!#REF!</f>
        <v>#REF!</v>
      </c>
      <c r="Q19" s="290" t="e">
        <f>+'48-CK NSNN'!#REF!</f>
        <v>#REF!</v>
      </c>
      <c r="R19" s="290" t="e">
        <f>+'48-CK NSNN'!#REF!</f>
        <v>#REF!</v>
      </c>
      <c r="S19" s="290" t="e">
        <f>+'48-CK NSNN'!#REF!</f>
        <v>#REF!</v>
      </c>
      <c r="T19" s="290" t="e">
        <f>+'48-CK NSNN'!#REF!</f>
        <v>#REF!</v>
      </c>
      <c r="U19" s="290" t="e">
        <f>+'48-CK NSNN'!#REF!</f>
        <v>#REF!</v>
      </c>
      <c r="V19" s="290"/>
      <c r="W19" s="290"/>
      <c r="X19" s="266"/>
      <c r="Y19" s="266"/>
      <c r="Z19" s="266"/>
      <c r="AA19" s="266"/>
      <c r="AB19" s="266"/>
      <c r="AC19" s="266"/>
      <c r="AD19" s="268"/>
      <c r="AE19" s="291" t="e">
        <f t="shared" si="4"/>
        <v>#REF!</v>
      </c>
      <c r="AF19" s="291" t="e">
        <f t="shared" si="5"/>
        <v>#REF!</v>
      </c>
      <c r="AG19" s="291" t="e">
        <f t="shared" si="6"/>
        <v>#REF!</v>
      </c>
      <c r="AH19" s="291" t="e">
        <f>+'48-CK NSNN'!#REF!</f>
        <v>#REF!</v>
      </c>
      <c r="AI19" s="291" t="e">
        <f>+'48-CK NSNN'!#REF!</f>
        <v>#REF!</v>
      </c>
      <c r="AJ19" s="291" t="e">
        <f>+'48-CK NSNN'!#REF!</f>
        <v>#REF!</v>
      </c>
      <c r="AK19" s="291"/>
      <c r="AL19" s="291" t="e">
        <f>+'48-CK NSNN'!#REF!</f>
        <v>#REF!</v>
      </c>
      <c r="AM19" s="291">
        <f t="shared" si="7"/>
        <v>0</v>
      </c>
      <c r="AN19" s="291" t="e">
        <f t="shared" si="8"/>
        <v>#REF!</v>
      </c>
      <c r="AO19" s="291" t="e">
        <f>+'48-CK NSNN'!#REF!</f>
        <v>#REF!</v>
      </c>
      <c r="AP19" s="291" t="e">
        <f t="shared" si="9"/>
        <v>#REF!</v>
      </c>
      <c r="AQ19" s="291"/>
      <c r="AR19" s="291"/>
      <c r="AS19" s="291"/>
      <c r="AT19" s="291"/>
    </row>
    <row r="20" spans="1:46">
      <c r="A20" s="265">
        <v>12</v>
      </c>
      <c r="B20" s="266" t="s">
        <v>927</v>
      </c>
      <c r="C20" s="290" t="e">
        <f t="shared" si="2"/>
        <v>#REF!</v>
      </c>
      <c r="D20" s="290" t="e">
        <f t="shared" si="3"/>
        <v>#REF!</v>
      </c>
      <c r="E20" s="290" t="e">
        <f>+'48-CK NSNN'!#REF!</f>
        <v>#REF!</v>
      </c>
      <c r="F20" s="290" t="e">
        <f>+'48-CK NSNN'!#REF!</f>
        <v>#REF!</v>
      </c>
      <c r="G20" s="290" t="e">
        <f>+'48-CK NSNN'!#REF!</f>
        <v>#REF!</v>
      </c>
      <c r="H20" s="290" t="e">
        <f>+'48-CK NSNN'!#REF!</f>
        <v>#REF!</v>
      </c>
      <c r="I20" s="290" t="e">
        <f>+'48-CK NSNN'!#REF!</f>
        <v>#REF!</v>
      </c>
      <c r="J20" s="290" t="e">
        <f>+'48-CK NSNN'!#REF!</f>
        <v>#REF!</v>
      </c>
      <c r="K20" s="290" t="e">
        <f>+'48-CK NSNN'!#REF!</f>
        <v>#REF!</v>
      </c>
      <c r="L20" s="290" t="e">
        <f>+'48-CK NSNN'!#REF!</f>
        <v>#REF!</v>
      </c>
      <c r="M20" s="290" t="e">
        <f>+'48-CK NSNN'!#REF!</f>
        <v>#REF!</v>
      </c>
      <c r="N20" s="290" t="e">
        <f>+'48-CK NSNN'!#REF!</f>
        <v>#REF!</v>
      </c>
      <c r="O20" s="290" t="e">
        <f>+'48-CK NSNN'!#REF!</f>
        <v>#REF!</v>
      </c>
      <c r="P20" s="290" t="e">
        <f>+'48-CK NSNN'!#REF!</f>
        <v>#REF!</v>
      </c>
      <c r="Q20" s="290" t="e">
        <f>+'48-CK NSNN'!#REF!</f>
        <v>#REF!</v>
      </c>
      <c r="R20" s="290" t="e">
        <f>+'48-CK NSNN'!#REF!</f>
        <v>#REF!</v>
      </c>
      <c r="S20" s="290" t="e">
        <f>+'48-CK NSNN'!#REF!</f>
        <v>#REF!</v>
      </c>
      <c r="T20" s="290" t="e">
        <f>+'48-CK NSNN'!#REF!</f>
        <v>#REF!</v>
      </c>
      <c r="U20" s="290" t="e">
        <f>+'48-CK NSNN'!#REF!</f>
        <v>#REF!</v>
      </c>
      <c r="V20" s="290"/>
      <c r="W20" s="290"/>
      <c r="X20" s="266"/>
      <c r="Y20" s="266"/>
      <c r="Z20" s="266"/>
      <c r="AA20" s="266"/>
      <c r="AB20" s="266"/>
      <c r="AC20" s="266"/>
      <c r="AD20" s="268"/>
      <c r="AE20" s="291" t="e">
        <f t="shared" si="4"/>
        <v>#REF!</v>
      </c>
      <c r="AF20" s="291" t="e">
        <f t="shared" si="5"/>
        <v>#REF!</v>
      </c>
      <c r="AG20" s="291" t="e">
        <f t="shared" si="6"/>
        <v>#REF!</v>
      </c>
      <c r="AH20" s="291" t="e">
        <f>+'48-CK NSNN'!#REF!</f>
        <v>#REF!</v>
      </c>
      <c r="AI20" s="291" t="e">
        <f>+'48-CK NSNN'!#REF!</f>
        <v>#REF!</v>
      </c>
      <c r="AJ20" s="291" t="e">
        <f>+'48-CK NSNN'!#REF!</f>
        <v>#REF!</v>
      </c>
      <c r="AK20" s="291"/>
      <c r="AL20" s="291" t="e">
        <f>+'48-CK NSNN'!#REF!</f>
        <v>#REF!</v>
      </c>
      <c r="AM20" s="291">
        <f t="shared" si="7"/>
        <v>0</v>
      </c>
      <c r="AN20" s="291" t="e">
        <f t="shared" si="8"/>
        <v>#REF!</v>
      </c>
      <c r="AO20" s="291" t="e">
        <f>+'48-CK NSNN'!#REF!</f>
        <v>#REF!</v>
      </c>
      <c r="AP20" s="291" t="e">
        <f t="shared" si="9"/>
        <v>#REF!</v>
      </c>
      <c r="AQ20" s="291"/>
      <c r="AR20" s="291"/>
      <c r="AS20" s="291"/>
      <c r="AT20" s="291"/>
    </row>
    <row r="21" spans="1:46">
      <c r="A21" s="265">
        <v>13</v>
      </c>
      <c r="B21" s="266" t="s">
        <v>928</v>
      </c>
      <c r="C21" s="290" t="e">
        <f t="shared" si="2"/>
        <v>#REF!</v>
      </c>
      <c r="D21" s="290" t="e">
        <f t="shared" si="3"/>
        <v>#REF!</v>
      </c>
      <c r="E21" s="290" t="e">
        <f>+'48-CK NSNN'!#REF!</f>
        <v>#REF!</v>
      </c>
      <c r="F21" s="290" t="e">
        <f>+'48-CK NSNN'!#REF!</f>
        <v>#REF!</v>
      </c>
      <c r="G21" s="290" t="e">
        <f>+'48-CK NSNN'!#REF!</f>
        <v>#REF!</v>
      </c>
      <c r="H21" s="290" t="e">
        <f>+'48-CK NSNN'!#REF!</f>
        <v>#REF!</v>
      </c>
      <c r="I21" s="290" t="e">
        <f>+'48-CK NSNN'!#REF!</f>
        <v>#REF!</v>
      </c>
      <c r="J21" s="290" t="e">
        <f>+'48-CK NSNN'!#REF!</f>
        <v>#REF!</v>
      </c>
      <c r="K21" s="290" t="e">
        <f>+'48-CK NSNN'!#REF!</f>
        <v>#REF!</v>
      </c>
      <c r="L21" s="290" t="e">
        <f>+'48-CK NSNN'!#REF!</f>
        <v>#REF!</v>
      </c>
      <c r="M21" s="290" t="e">
        <f>+'48-CK NSNN'!#REF!</f>
        <v>#REF!</v>
      </c>
      <c r="N21" s="290" t="e">
        <f>+'48-CK NSNN'!#REF!</f>
        <v>#REF!</v>
      </c>
      <c r="O21" s="290" t="e">
        <f>+'48-CK NSNN'!#REF!</f>
        <v>#REF!</v>
      </c>
      <c r="P21" s="290" t="e">
        <f>+'48-CK NSNN'!#REF!</f>
        <v>#REF!</v>
      </c>
      <c r="Q21" s="290" t="e">
        <f>+'48-CK NSNN'!#REF!</f>
        <v>#REF!</v>
      </c>
      <c r="R21" s="290" t="e">
        <f>+'48-CK NSNN'!#REF!</f>
        <v>#REF!</v>
      </c>
      <c r="S21" s="290" t="e">
        <f>+'48-CK NSNN'!#REF!</f>
        <v>#REF!</v>
      </c>
      <c r="T21" s="290" t="e">
        <f>+'48-CK NSNN'!#REF!</f>
        <v>#REF!</v>
      </c>
      <c r="U21" s="290" t="e">
        <f>+'48-CK NSNN'!#REF!</f>
        <v>#REF!</v>
      </c>
      <c r="V21" s="290"/>
      <c r="W21" s="290"/>
      <c r="X21" s="266"/>
      <c r="Y21" s="266"/>
      <c r="Z21" s="266"/>
      <c r="AA21" s="266"/>
      <c r="AB21" s="266"/>
      <c r="AC21" s="266"/>
      <c r="AD21" s="268"/>
      <c r="AE21" s="291" t="e">
        <f t="shared" si="4"/>
        <v>#REF!</v>
      </c>
      <c r="AF21" s="291" t="e">
        <f t="shared" si="5"/>
        <v>#REF!</v>
      </c>
      <c r="AG21" s="291" t="e">
        <f t="shared" si="6"/>
        <v>#REF!</v>
      </c>
      <c r="AH21" s="291" t="e">
        <f>+'48-CK NSNN'!#REF!</f>
        <v>#REF!</v>
      </c>
      <c r="AI21" s="291" t="e">
        <f>+'48-CK NSNN'!#REF!</f>
        <v>#REF!</v>
      </c>
      <c r="AJ21" s="291" t="e">
        <f>+'48-CK NSNN'!#REF!</f>
        <v>#REF!</v>
      </c>
      <c r="AK21" s="291"/>
      <c r="AL21" s="291" t="e">
        <f>+'48-CK NSNN'!#REF!</f>
        <v>#REF!</v>
      </c>
      <c r="AM21" s="291">
        <f t="shared" si="7"/>
        <v>0</v>
      </c>
      <c r="AN21" s="291" t="e">
        <f t="shared" si="8"/>
        <v>#REF!</v>
      </c>
      <c r="AO21" s="291" t="e">
        <f>+'48-CK NSNN'!#REF!</f>
        <v>#REF!</v>
      </c>
      <c r="AP21" s="291" t="e">
        <f t="shared" si="9"/>
        <v>#REF!</v>
      </c>
      <c r="AQ21" s="291"/>
      <c r="AR21" s="291"/>
      <c r="AS21" s="291"/>
      <c r="AT21" s="291"/>
    </row>
    <row r="22" spans="1:46">
      <c r="A22" s="265">
        <v>14</v>
      </c>
      <c r="B22" s="266" t="s">
        <v>929</v>
      </c>
      <c r="C22" s="290" t="e">
        <f t="shared" si="2"/>
        <v>#REF!</v>
      </c>
      <c r="D22" s="290" t="e">
        <f t="shared" si="3"/>
        <v>#REF!</v>
      </c>
      <c r="E22" s="290" t="e">
        <f>+'48-CK NSNN'!#REF!</f>
        <v>#REF!</v>
      </c>
      <c r="F22" s="290" t="e">
        <f>+'48-CK NSNN'!#REF!</f>
        <v>#REF!</v>
      </c>
      <c r="G22" s="290" t="e">
        <f>+'48-CK NSNN'!#REF!</f>
        <v>#REF!</v>
      </c>
      <c r="H22" s="290" t="e">
        <f>+'48-CK NSNN'!#REF!</f>
        <v>#REF!</v>
      </c>
      <c r="I22" s="290" t="e">
        <f>+'48-CK NSNN'!#REF!</f>
        <v>#REF!</v>
      </c>
      <c r="J22" s="290" t="e">
        <f>+'48-CK NSNN'!#REF!</f>
        <v>#REF!</v>
      </c>
      <c r="K22" s="290" t="e">
        <f>+'48-CK NSNN'!#REF!</f>
        <v>#REF!</v>
      </c>
      <c r="L22" s="290" t="e">
        <f>+'48-CK NSNN'!#REF!</f>
        <v>#REF!</v>
      </c>
      <c r="M22" s="290" t="e">
        <f>+'48-CK NSNN'!#REF!</f>
        <v>#REF!</v>
      </c>
      <c r="N22" s="290" t="e">
        <f>+'48-CK NSNN'!#REF!</f>
        <v>#REF!</v>
      </c>
      <c r="O22" s="290" t="e">
        <f>+'48-CK NSNN'!#REF!</f>
        <v>#REF!</v>
      </c>
      <c r="P22" s="290" t="e">
        <f>+'48-CK NSNN'!#REF!</f>
        <v>#REF!</v>
      </c>
      <c r="Q22" s="290" t="e">
        <f>+'48-CK NSNN'!#REF!</f>
        <v>#REF!</v>
      </c>
      <c r="R22" s="290" t="e">
        <f>+'48-CK NSNN'!#REF!</f>
        <v>#REF!</v>
      </c>
      <c r="S22" s="290" t="e">
        <f>+'48-CK NSNN'!#REF!</f>
        <v>#REF!</v>
      </c>
      <c r="T22" s="290" t="e">
        <f>+'48-CK NSNN'!#REF!</f>
        <v>#REF!</v>
      </c>
      <c r="U22" s="290" t="e">
        <f>+'48-CK NSNN'!#REF!</f>
        <v>#REF!</v>
      </c>
      <c r="V22" s="290"/>
      <c r="W22" s="290"/>
      <c r="X22" s="266"/>
      <c r="Y22" s="266"/>
      <c r="Z22" s="266"/>
      <c r="AA22" s="266"/>
      <c r="AB22" s="266"/>
      <c r="AC22" s="266"/>
      <c r="AD22" s="268"/>
      <c r="AE22" s="291" t="e">
        <f t="shared" si="4"/>
        <v>#REF!</v>
      </c>
      <c r="AF22" s="291" t="e">
        <f t="shared" si="5"/>
        <v>#REF!</v>
      </c>
      <c r="AG22" s="291" t="e">
        <f t="shared" si="6"/>
        <v>#REF!</v>
      </c>
      <c r="AH22" s="291" t="e">
        <f>+'48-CK NSNN'!#REF!</f>
        <v>#REF!</v>
      </c>
      <c r="AI22" s="291" t="e">
        <f>+'48-CK NSNN'!#REF!</f>
        <v>#REF!</v>
      </c>
      <c r="AJ22" s="291" t="e">
        <f>+'48-CK NSNN'!#REF!</f>
        <v>#REF!</v>
      </c>
      <c r="AK22" s="291"/>
      <c r="AL22" s="291" t="e">
        <f>+'48-CK NSNN'!#REF!</f>
        <v>#REF!</v>
      </c>
      <c r="AM22" s="291">
        <f t="shared" si="7"/>
        <v>0</v>
      </c>
      <c r="AN22" s="291" t="e">
        <f t="shared" si="8"/>
        <v>#REF!</v>
      </c>
      <c r="AO22" s="291" t="e">
        <f>+'48-CK NSNN'!#REF!</f>
        <v>#REF!</v>
      </c>
      <c r="AP22" s="291" t="e">
        <f t="shared" si="9"/>
        <v>#REF!</v>
      </c>
      <c r="AQ22" s="291"/>
      <c r="AR22" s="291"/>
      <c r="AS22" s="291"/>
      <c r="AT22" s="291"/>
    </row>
    <row r="23" spans="1:46">
      <c r="A23" s="265">
        <v>15</v>
      </c>
      <c r="B23" s="266" t="s">
        <v>930</v>
      </c>
      <c r="C23" s="290" t="e">
        <f t="shared" si="2"/>
        <v>#REF!</v>
      </c>
      <c r="D23" s="290" t="e">
        <f t="shared" si="3"/>
        <v>#REF!</v>
      </c>
      <c r="E23" s="290" t="e">
        <f>+'48-CK NSNN'!#REF!</f>
        <v>#REF!</v>
      </c>
      <c r="F23" s="290" t="e">
        <f>+'48-CK NSNN'!#REF!</f>
        <v>#REF!</v>
      </c>
      <c r="G23" s="290" t="e">
        <f>+'48-CK NSNN'!#REF!</f>
        <v>#REF!</v>
      </c>
      <c r="H23" s="290" t="e">
        <f>+'48-CK NSNN'!#REF!</f>
        <v>#REF!</v>
      </c>
      <c r="I23" s="290" t="e">
        <f>+'48-CK NSNN'!#REF!</f>
        <v>#REF!</v>
      </c>
      <c r="J23" s="290" t="e">
        <f>+'48-CK NSNN'!#REF!</f>
        <v>#REF!</v>
      </c>
      <c r="K23" s="290" t="e">
        <f>+'48-CK NSNN'!#REF!</f>
        <v>#REF!</v>
      </c>
      <c r="L23" s="290" t="e">
        <f>+'48-CK NSNN'!#REF!</f>
        <v>#REF!</v>
      </c>
      <c r="M23" s="290" t="e">
        <f>+'48-CK NSNN'!#REF!</f>
        <v>#REF!</v>
      </c>
      <c r="N23" s="290" t="e">
        <f>+'48-CK NSNN'!#REF!</f>
        <v>#REF!</v>
      </c>
      <c r="O23" s="290" t="e">
        <f>+'48-CK NSNN'!#REF!</f>
        <v>#REF!</v>
      </c>
      <c r="P23" s="290" t="e">
        <f>+'48-CK NSNN'!#REF!</f>
        <v>#REF!</v>
      </c>
      <c r="Q23" s="290" t="e">
        <f>+'48-CK NSNN'!#REF!</f>
        <v>#REF!</v>
      </c>
      <c r="R23" s="290" t="e">
        <f>+'48-CK NSNN'!#REF!</f>
        <v>#REF!</v>
      </c>
      <c r="S23" s="290" t="e">
        <f>+'48-CK NSNN'!#REF!</f>
        <v>#REF!</v>
      </c>
      <c r="T23" s="290" t="e">
        <f>+'48-CK NSNN'!#REF!</f>
        <v>#REF!</v>
      </c>
      <c r="U23" s="290" t="e">
        <f>+'48-CK NSNN'!#REF!</f>
        <v>#REF!</v>
      </c>
      <c r="V23" s="290"/>
      <c r="W23" s="290"/>
      <c r="X23" s="266"/>
      <c r="Y23" s="266"/>
      <c r="Z23" s="266"/>
      <c r="AA23" s="266"/>
      <c r="AB23" s="266"/>
      <c r="AC23" s="266"/>
      <c r="AD23" s="268"/>
      <c r="AE23" s="291" t="e">
        <f t="shared" si="4"/>
        <v>#REF!</v>
      </c>
      <c r="AF23" s="291" t="e">
        <f t="shared" si="5"/>
        <v>#REF!</v>
      </c>
      <c r="AG23" s="291" t="e">
        <f t="shared" si="6"/>
        <v>#REF!</v>
      </c>
      <c r="AH23" s="291" t="e">
        <f>+'48-CK NSNN'!#REF!</f>
        <v>#REF!</v>
      </c>
      <c r="AI23" s="291" t="e">
        <f>+'48-CK NSNN'!#REF!</f>
        <v>#REF!</v>
      </c>
      <c r="AJ23" s="291" t="e">
        <f>+'48-CK NSNN'!#REF!</f>
        <v>#REF!</v>
      </c>
      <c r="AK23" s="291"/>
      <c r="AL23" s="291" t="e">
        <f>+'48-CK NSNN'!#REF!</f>
        <v>#REF!</v>
      </c>
      <c r="AM23" s="291">
        <f t="shared" si="7"/>
        <v>0</v>
      </c>
      <c r="AN23" s="291" t="e">
        <f t="shared" si="8"/>
        <v>#REF!</v>
      </c>
      <c r="AO23" s="291" t="e">
        <f>+'48-CK NSNN'!#REF!</f>
        <v>#REF!</v>
      </c>
      <c r="AP23" s="291" t="e">
        <f t="shared" si="9"/>
        <v>#REF!</v>
      </c>
      <c r="AQ23" s="291"/>
      <c r="AR23" s="291"/>
      <c r="AS23" s="291"/>
      <c r="AT23" s="291"/>
    </row>
    <row r="24" spans="1:46">
      <c r="A24" s="458"/>
      <c r="B24" s="459"/>
      <c r="C24" s="459"/>
      <c r="D24" s="459"/>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268"/>
      <c r="AE24" s="291"/>
      <c r="AF24" s="291"/>
      <c r="AG24" s="291"/>
      <c r="AH24" s="291"/>
      <c r="AI24" s="291"/>
      <c r="AJ24" s="291"/>
      <c r="AK24" s="291"/>
      <c r="AL24" s="291"/>
      <c r="AM24" s="291"/>
      <c r="AN24" s="291"/>
      <c r="AO24" s="291"/>
      <c r="AP24" s="291"/>
      <c r="AQ24" s="291"/>
      <c r="AR24" s="291"/>
      <c r="AS24" s="291"/>
      <c r="AT24" s="291"/>
    </row>
    <row r="25" spans="1:46" ht="19.5" hidden="1" customHeight="1">
      <c r="A25" s="460" t="s">
        <v>488</v>
      </c>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c r="AA25" s="268"/>
      <c r="AB25" s="268"/>
      <c r="AC25" s="268"/>
      <c r="AD25" s="268"/>
      <c r="AE25" s="291"/>
      <c r="AF25" s="291"/>
      <c r="AG25" s="291"/>
      <c r="AH25" s="291"/>
      <c r="AI25" s="291"/>
      <c r="AJ25" s="291"/>
      <c r="AK25" s="291"/>
      <c r="AL25" s="291"/>
      <c r="AM25" s="291"/>
      <c r="AN25" s="291"/>
      <c r="AO25" s="291"/>
      <c r="AP25" s="291"/>
      <c r="AQ25" s="291"/>
      <c r="AR25" s="291"/>
      <c r="AS25" s="291"/>
      <c r="AT25" s="291"/>
    </row>
    <row r="26" spans="1:46" s="462" customFormat="1" hidden="1">
      <c r="A26" s="461" t="s">
        <v>486</v>
      </c>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c r="AA26" s="268"/>
      <c r="AB26" s="268"/>
      <c r="AC26" s="268"/>
      <c r="AD26" s="268"/>
      <c r="AE26" s="291"/>
      <c r="AF26" s="291"/>
      <c r="AG26" s="291"/>
      <c r="AH26" s="291"/>
      <c r="AI26" s="291"/>
      <c r="AJ26" s="291"/>
      <c r="AK26" s="291"/>
      <c r="AL26" s="291"/>
      <c r="AM26" s="291"/>
      <c r="AN26" s="291"/>
      <c r="AO26" s="291"/>
      <c r="AP26" s="291"/>
      <c r="AQ26" s="291"/>
      <c r="AR26" s="291"/>
      <c r="AS26" s="291"/>
      <c r="AT26" s="291"/>
    </row>
    <row r="27" spans="1:46" hidden="1">
      <c r="A27" s="461" t="s">
        <v>487</v>
      </c>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91"/>
      <c r="AF27" s="291"/>
      <c r="AG27" s="291"/>
      <c r="AH27" s="291"/>
      <c r="AI27" s="291"/>
      <c r="AJ27" s="291"/>
      <c r="AK27" s="291"/>
      <c r="AL27" s="291"/>
      <c r="AM27" s="291"/>
      <c r="AN27" s="291"/>
      <c r="AO27" s="291"/>
      <c r="AP27" s="291"/>
      <c r="AQ27" s="291"/>
      <c r="AR27" s="291"/>
      <c r="AS27" s="291"/>
      <c r="AT27" s="291"/>
    </row>
    <row r="28" spans="1:46">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91"/>
      <c r="AF28" s="291"/>
      <c r="AG28" s="291"/>
      <c r="AH28" s="291"/>
      <c r="AI28" s="291"/>
      <c r="AJ28" s="291"/>
      <c r="AK28" s="291"/>
      <c r="AL28" s="291"/>
      <c r="AM28" s="291"/>
      <c r="AN28" s="291"/>
      <c r="AO28" s="291"/>
      <c r="AP28" s="291"/>
      <c r="AQ28" s="291"/>
      <c r="AR28" s="291"/>
      <c r="AS28" s="291"/>
      <c r="AT28" s="291"/>
    </row>
    <row r="29" spans="1:46">
      <c r="A29" s="268"/>
      <c r="B29" s="268" t="s">
        <v>1049</v>
      </c>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c r="AA29" s="268"/>
      <c r="AB29" s="268"/>
      <c r="AC29" s="268"/>
      <c r="AD29" s="268"/>
      <c r="AE29" s="291"/>
      <c r="AF29" s="291"/>
      <c r="AG29" s="291"/>
      <c r="AH29" s="291"/>
      <c r="AI29" s="291"/>
      <c r="AJ29" s="291"/>
      <c r="AK29" s="291"/>
      <c r="AL29" s="291"/>
      <c r="AM29" s="291"/>
      <c r="AN29" s="291"/>
      <c r="AO29" s="291"/>
      <c r="AP29" s="291"/>
      <c r="AQ29" s="291"/>
      <c r="AR29" s="291"/>
      <c r="AS29" s="291"/>
      <c r="AT29" s="291"/>
    </row>
    <row r="30" spans="1:46" hidden="1">
      <c r="A30" s="265">
        <v>1</v>
      </c>
      <c r="B30" s="266" t="s">
        <v>831</v>
      </c>
      <c r="C30" s="290">
        <f>+D30+V30+W30</f>
        <v>457200</v>
      </c>
      <c r="D30" s="290">
        <f>SUM(E30:U30)</f>
        <v>457200</v>
      </c>
      <c r="E30" s="290"/>
      <c r="F30" s="290">
        <v>20000</v>
      </c>
      <c r="G30" s="290"/>
      <c r="H30" s="290">
        <v>200000</v>
      </c>
      <c r="I30" s="290">
        <v>58000</v>
      </c>
      <c r="J30" s="290"/>
      <c r="K30" s="290">
        <v>60000</v>
      </c>
      <c r="L30" s="290">
        <v>40000</v>
      </c>
      <c r="M30" s="290"/>
      <c r="N30" s="290">
        <v>9550</v>
      </c>
      <c r="O30" s="290">
        <v>6500</v>
      </c>
      <c r="P30" s="290">
        <v>25000</v>
      </c>
      <c r="Q30" s="290"/>
      <c r="R30" s="290"/>
      <c r="S30" s="290"/>
      <c r="T30" s="290">
        <v>36250</v>
      </c>
      <c r="U30" s="290">
        <v>1900</v>
      </c>
      <c r="V30" s="290"/>
      <c r="W30" s="290"/>
      <c r="X30" s="266"/>
      <c r="Y30" s="266"/>
      <c r="Z30" s="266"/>
      <c r="AA30" s="266"/>
      <c r="AB30" s="266"/>
      <c r="AC30" s="266"/>
      <c r="AD30" s="268"/>
      <c r="AE30" s="291">
        <f>C30-AG30</f>
        <v>435200</v>
      </c>
      <c r="AF30" s="291">
        <f>AE30-P30</f>
        <v>410200</v>
      </c>
      <c r="AG30" s="291">
        <f>+AH30+AI30+AJ30+AK30+AL30+AM30+AN30+AP30+AQ30</f>
        <v>22000</v>
      </c>
      <c r="AH30" s="291"/>
      <c r="AI30" s="291">
        <v>22000</v>
      </c>
      <c r="AJ30" s="291"/>
      <c r="AK30" s="291"/>
      <c r="AL30" s="291"/>
      <c r="AM30" s="291">
        <f>AR30*0.3</f>
        <v>0</v>
      </c>
      <c r="AN30" s="291">
        <f>J30</f>
        <v>0</v>
      </c>
      <c r="AO30" s="291"/>
      <c r="AP30" s="291"/>
      <c r="AQ30" s="291"/>
      <c r="AR30" s="291"/>
      <c r="AS30" s="291"/>
      <c r="AT30" s="291"/>
    </row>
    <row r="31" spans="1:46" hidden="1">
      <c r="A31" s="265">
        <v>2</v>
      </c>
      <c r="B31" s="266" t="s">
        <v>917</v>
      </c>
      <c r="C31" s="290">
        <f t="shared" ref="C31:C44" si="10">+D31+V31+W31</f>
        <v>74000</v>
      </c>
      <c r="D31" s="290">
        <f t="shared" ref="D31:D44" si="11">SUM(E31:U31)</f>
        <v>74000</v>
      </c>
      <c r="E31" s="290"/>
      <c r="F31" s="290">
        <v>6600</v>
      </c>
      <c r="G31" s="290"/>
      <c r="H31" s="290">
        <v>20500</v>
      </c>
      <c r="I31" s="290">
        <v>7000</v>
      </c>
      <c r="J31" s="290"/>
      <c r="K31" s="290">
        <v>5500</v>
      </c>
      <c r="L31" s="290">
        <v>5000</v>
      </c>
      <c r="M31" s="290"/>
      <c r="N31" s="290">
        <v>300</v>
      </c>
      <c r="O31" s="290">
        <v>100</v>
      </c>
      <c r="P31" s="290">
        <v>22000</v>
      </c>
      <c r="Q31" s="290"/>
      <c r="R31" s="290"/>
      <c r="S31" s="290"/>
      <c r="T31" s="290">
        <f>7000-U31</f>
        <v>7000</v>
      </c>
      <c r="U31" s="290"/>
      <c r="V31" s="290"/>
      <c r="W31" s="290"/>
      <c r="X31" s="266"/>
      <c r="Y31" s="266"/>
      <c r="Z31" s="266"/>
      <c r="AA31" s="266"/>
      <c r="AB31" s="266"/>
      <c r="AC31" s="266"/>
      <c r="AD31" s="268"/>
      <c r="AE31" s="291">
        <f t="shared" ref="AE31:AE44" si="12">C31-AG31</f>
        <v>71800</v>
      </c>
      <c r="AF31" s="291">
        <f t="shared" ref="AF31:AF44" si="13">AE31-P31</f>
        <v>49800</v>
      </c>
      <c r="AG31" s="291">
        <f t="shared" ref="AG31:AG44" si="14">+AH31+AI31+AJ31+AK31+AL31+AM31+AN31+AP31+AQ31</f>
        <v>2200</v>
      </c>
      <c r="AH31" s="291">
        <v>1600</v>
      </c>
      <c r="AI31" s="291"/>
      <c r="AJ31" s="291"/>
      <c r="AK31" s="291"/>
      <c r="AL31" s="291">
        <v>600</v>
      </c>
      <c r="AM31" s="291">
        <f t="shared" ref="AM31:AM44" si="15">AR31*0.3</f>
        <v>0</v>
      </c>
      <c r="AN31" s="291">
        <f t="shared" ref="AN31:AN44" si="16">J31</f>
        <v>0</v>
      </c>
      <c r="AO31" s="291"/>
      <c r="AP31" s="291"/>
      <c r="AQ31" s="291"/>
      <c r="AR31" s="291"/>
      <c r="AS31" s="291"/>
      <c r="AT31" s="291"/>
    </row>
    <row r="32" spans="1:46" hidden="1">
      <c r="A32" s="265">
        <v>3</v>
      </c>
      <c r="B32" s="266" t="s">
        <v>918</v>
      </c>
      <c r="C32" s="290">
        <f t="shared" si="10"/>
        <v>372000</v>
      </c>
      <c r="D32" s="290">
        <f t="shared" si="11"/>
        <v>372000</v>
      </c>
      <c r="E32" s="290"/>
      <c r="F32" s="290">
        <v>4300</v>
      </c>
      <c r="G32" s="290"/>
      <c r="H32" s="290">
        <v>196100</v>
      </c>
      <c r="I32" s="290">
        <v>55000</v>
      </c>
      <c r="J32" s="290">
        <v>3300</v>
      </c>
      <c r="K32" s="290">
        <v>48000</v>
      </c>
      <c r="L32" s="290">
        <v>9700</v>
      </c>
      <c r="M32" s="290"/>
      <c r="N32" s="290">
        <v>3500</v>
      </c>
      <c r="O32" s="290">
        <v>5000</v>
      </c>
      <c r="P32" s="290">
        <v>32000</v>
      </c>
      <c r="Q32" s="290"/>
      <c r="R32" s="290"/>
      <c r="S32" s="290"/>
      <c r="T32" s="290">
        <v>15100</v>
      </c>
      <c r="U32" s="290"/>
      <c r="V32" s="290"/>
      <c r="W32" s="290"/>
      <c r="X32" s="266"/>
      <c r="Y32" s="266"/>
      <c r="Z32" s="266"/>
      <c r="AA32" s="266"/>
      <c r="AB32" s="266"/>
      <c r="AC32" s="266"/>
      <c r="AD32" s="268"/>
      <c r="AE32" s="291">
        <f t="shared" si="12"/>
        <v>354750</v>
      </c>
      <c r="AF32" s="291">
        <f t="shared" si="13"/>
        <v>322750</v>
      </c>
      <c r="AG32" s="291">
        <f t="shared" si="14"/>
        <v>17250</v>
      </c>
      <c r="AH32" s="291">
        <v>3650</v>
      </c>
      <c r="AI32" s="291">
        <v>6200</v>
      </c>
      <c r="AJ32" s="291">
        <v>2600</v>
      </c>
      <c r="AK32" s="291"/>
      <c r="AL32" s="291">
        <v>1500</v>
      </c>
      <c r="AM32" s="291">
        <f t="shared" si="15"/>
        <v>0</v>
      </c>
      <c r="AN32" s="291">
        <f t="shared" si="16"/>
        <v>3300</v>
      </c>
      <c r="AO32" s="291"/>
      <c r="AP32" s="291"/>
      <c r="AQ32" s="291"/>
      <c r="AR32" s="291"/>
      <c r="AS32" s="291"/>
      <c r="AT32" s="291"/>
    </row>
    <row r="33" spans="1:46" hidden="1">
      <c r="A33" s="265">
        <v>4</v>
      </c>
      <c r="B33" s="266" t="s">
        <v>919</v>
      </c>
      <c r="C33" s="290">
        <f t="shared" si="10"/>
        <v>81500</v>
      </c>
      <c r="D33" s="290">
        <f t="shared" si="11"/>
        <v>81500</v>
      </c>
      <c r="E33" s="290"/>
      <c r="F33" s="290">
        <v>1750</v>
      </c>
      <c r="G33" s="290"/>
      <c r="H33" s="290">
        <v>28350</v>
      </c>
      <c r="I33" s="290">
        <v>13000</v>
      </c>
      <c r="J33" s="290"/>
      <c r="K33" s="290">
        <v>13000</v>
      </c>
      <c r="L33" s="290">
        <v>4300</v>
      </c>
      <c r="M33" s="290"/>
      <c r="N33" s="290">
        <v>2400</v>
      </c>
      <c r="O33" s="290">
        <v>200</v>
      </c>
      <c r="P33" s="290">
        <v>12000</v>
      </c>
      <c r="Q33" s="290"/>
      <c r="R33" s="290"/>
      <c r="S33" s="290"/>
      <c r="T33" s="290">
        <v>5650</v>
      </c>
      <c r="U33" s="290">
        <v>850</v>
      </c>
      <c r="V33" s="290"/>
      <c r="W33" s="290"/>
      <c r="X33" s="266"/>
      <c r="Y33" s="266"/>
      <c r="Z33" s="266"/>
      <c r="AA33" s="266"/>
      <c r="AB33" s="266"/>
      <c r="AC33" s="266"/>
      <c r="AD33" s="268"/>
      <c r="AE33" s="291">
        <f t="shared" si="12"/>
        <v>81500</v>
      </c>
      <c r="AF33" s="291">
        <f t="shared" si="13"/>
        <v>69500</v>
      </c>
      <c r="AG33" s="291">
        <f t="shared" si="14"/>
        <v>0</v>
      </c>
      <c r="AH33" s="291"/>
      <c r="AI33" s="291"/>
      <c r="AJ33" s="291"/>
      <c r="AK33" s="291"/>
      <c r="AL33" s="291"/>
      <c r="AM33" s="291">
        <f t="shared" si="15"/>
        <v>0</v>
      </c>
      <c r="AN33" s="291">
        <f t="shared" si="16"/>
        <v>0</v>
      </c>
      <c r="AO33" s="291"/>
      <c r="AP33" s="291"/>
      <c r="AQ33" s="291"/>
      <c r="AR33" s="291"/>
      <c r="AS33" s="291"/>
      <c r="AT33" s="291"/>
    </row>
    <row r="34" spans="1:46">
      <c r="A34" s="265">
        <v>5</v>
      </c>
      <c r="B34" s="266" t="s">
        <v>920</v>
      </c>
      <c r="C34" s="290">
        <f t="shared" si="10"/>
        <v>33900</v>
      </c>
      <c r="D34" s="290">
        <f t="shared" si="11"/>
        <v>33900</v>
      </c>
      <c r="E34" s="290"/>
      <c r="F34" s="290">
        <v>450</v>
      </c>
      <c r="G34" s="290"/>
      <c r="H34" s="290">
        <v>11600</v>
      </c>
      <c r="I34" s="290">
        <v>5500</v>
      </c>
      <c r="J34" s="290"/>
      <c r="K34" s="290">
        <v>6500</v>
      </c>
      <c r="L34" s="290">
        <v>1700</v>
      </c>
      <c r="M34" s="290"/>
      <c r="N34" s="290">
        <v>1550</v>
      </c>
      <c r="O34" s="290">
        <v>100</v>
      </c>
      <c r="P34" s="290">
        <v>3000</v>
      </c>
      <c r="Q34" s="290"/>
      <c r="R34" s="290"/>
      <c r="S34" s="290"/>
      <c r="T34" s="290">
        <f>3500-500</f>
        <v>3000</v>
      </c>
      <c r="U34" s="290">
        <v>500</v>
      </c>
      <c r="V34" s="290"/>
      <c r="W34" s="290"/>
      <c r="X34" s="266"/>
      <c r="Y34" s="266"/>
      <c r="Z34" s="266"/>
      <c r="AA34" s="266"/>
      <c r="AB34" s="266"/>
      <c r="AC34" s="266"/>
      <c r="AD34" s="268"/>
      <c r="AE34" s="291">
        <f t="shared" si="12"/>
        <v>33900</v>
      </c>
      <c r="AF34" s="291">
        <f t="shared" si="13"/>
        <v>30900</v>
      </c>
      <c r="AG34" s="291">
        <f t="shared" si="14"/>
        <v>0</v>
      </c>
      <c r="AH34" s="291"/>
      <c r="AI34" s="291"/>
      <c r="AJ34" s="291"/>
      <c r="AK34" s="291"/>
      <c r="AL34" s="291"/>
      <c r="AM34" s="291">
        <f t="shared" si="15"/>
        <v>0</v>
      </c>
      <c r="AN34" s="291">
        <f t="shared" si="16"/>
        <v>0</v>
      </c>
      <c r="AO34" s="291"/>
      <c r="AP34" s="291"/>
      <c r="AQ34" s="291"/>
      <c r="AR34" s="291"/>
      <c r="AS34" s="291"/>
      <c r="AT34" s="291"/>
    </row>
    <row r="35" spans="1:46" ht="30" hidden="1">
      <c r="A35" s="265">
        <v>6</v>
      </c>
      <c r="B35" s="266" t="s">
        <v>921</v>
      </c>
      <c r="C35" s="290">
        <f t="shared" si="10"/>
        <v>0</v>
      </c>
      <c r="D35" s="290">
        <f t="shared" si="11"/>
        <v>0</v>
      </c>
      <c r="E35" s="290"/>
      <c r="F35" s="290"/>
      <c r="G35" s="290"/>
      <c r="H35" s="290"/>
      <c r="I35" s="290"/>
      <c r="J35" s="290"/>
      <c r="K35" s="290"/>
      <c r="L35" s="290"/>
      <c r="M35" s="290"/>
      <c r="N35" s="290"/>
      <c r="O35" s="290"/>
      <c r="P35" s="290"/>
      <c r="Q35" s="290"/>
      <c r="R35" s="290"/>
      <c r="S35" s="290"/>
      <c r="T35" s="290"/>
      <c r="U35" s="290"/>
      <c r="V35" s="290"/>
      <c r="W35" s="290"/>
      <c r="X35" s="266"/>
      <c r="Y35" s="266"/>
      <c r="Z35" s="266"/>
      <c r="AA35" s="266"/>
      <c r="AB35" s="266"/>
      <c r="AC35" s="266"/>
      <c r="AD35" s="268"/>
      <c r="AE35" s="291">
        <f t="shared" si="12"/>
        <v>0</v>
      </c>
      <c r="AF35" s="291">
        <f t="shared" si="13"/>
        <v>0</v>
      </c>
      <c r="AG35" s="291">
        <f t="shared" si="14"/>
        <v>0</v>
      </c>
      <c r="AH35" s="291"/>
      <c r="AI35" s="291"/>
      <c r="AJ35" s="291"/>
      <c r="AK35" s="291"/>
      <c r="AL35" s="291"/>
      <c r="AM35" s="291">
        <f t="shared" si="15"/>
        <v>0</v>
      </c>
      <c r="AN35" s="291">
        <f t="shared" si="16"/>
        <v>0</v>
      </c>
      <c r="AO35" s="291"/>
      <c r="AP35" s="291"/>
      <c r="AQ35" s="291"/>
      <c r="AR35" s="291"/>
      <c r="AS35" s="291"/>
      <c r="AT35" s="291"/>
    </row>
    <row r="36" spans="1:46" hidden="1">
      <c r="A36" s="265">
        <v>7</v>
      </c>
      <c r="B36" s="266" t="s">
        <v>922</v>
      </c>
      <c r="C36" s="290">
        <f t="shared" si="10"/>
        <v>0</v>
      </c>
      <c r="D36" s="290">
        <f t="shared" si="11"/>
        <v>0</v>
      </c>
      <c r="E36" s="290"/>
      <c r="F36" s="290"/>
      <c r="G36" s="290"/>
      <c r="H36" s="290"/>
      <c r="I36" s="290"/>
      <c r="J36" s="290"/>
      <c r="K36" s="290"/>
      <c r="L36" s="290"/>
      <c r="M36" s="290"/>
      <c r="N36" s="290"/>
      <c r="O36" s="290"/>
      <c r="P36" s="290"/>
      <c r="Q36" s="290"/>
      <c r="R36" s="290"/>
      <c r="S36" s="290"/>
      <c r="T36" s="290"/>
      <c r="U36" s="290"/>
      <c r="V36" s="290"/>
      <c r="W36" s="290"/>
      <c r="X36" s="266"/>
      <c r="Y36" s="266"/>
      <c r="Z36" s="266"/>
      <c r="AA36" s="266"/>
      <c r="AB36" s="266"/>
      <c r="AC36" s="266"/>
      <c r="AD36" s="268"/>
      <c r="AE36" s="291">
        <f t="shared" si="12"/>
        <v>0</v>
      </c>
      <c r="AF36" s="291">
        <f t="shared" si="13"/>
        <v>0</v>
      </c>
      <c r="AG36" s="291">
        <f t="shared" si="14"/>
        <v>0</v>
      </c>
      <c r="AH36" s="291"/>
      <c r="AI36" s="291"/>
      <c r="AJ36" s="291"/>
      <c r="AK36" s="291"/>
      <c r="AL36" s="291"/>
      <c r="AM36" s="291">
        <f t="shared" si="15"/>
        <v>0</v>
      </c>
      <c r="AN36" s="291">
        <f t="shared" si="16"/>
        <v>0</v>
      </c>
      <c r="AO36" s="291"/>
      <c r="AP36" s="291"/>
      <c r="AQ36" s="291"/>
      <c r="AR36" s="291"/>
      <c r="AS36" s="291"/>
      <c r="AT36" s="291"/>
    </row>
    <row r="37" spans="1:46">
      <c r="A37" s="265">
        <v>8</v>
      </c>
      <c r="B37" s="266" t="s">
        <v>923</v>
      </c>
      <c r="C37" s="290">
        <f t="shared" si="10"/>
        <v>48350</v>
      </c>
      <c r="D37" s="290">
        <f t="shared" si="11"/>
        <v>48350</v>
      </c>
      <c r="E37" s="290"/>
      <c r="F37" s="290">
        <v>400</v>
      </c>
      <c r="G37" s="290"/>
      <c r="H37" s="290">
        <v>14510</v>
      </c>
      <c r="I37" s="290">
        <v>10200</v>
      </c>
      <c r="J37" s="290"/>
      <c r="K37" s="290">
        <v>9000</v>
      </c>
      <c r="L37" s="290">
        <v>3500</v>
      </c>
      <c r="M37" s="290">
        <v>140</v>
      </c>
      <c r="N37" s="290">
        <v>450</v>
      </c>
      <c r="O37" s="290">
        <v>50</v>
      </c>
      <c r="P37" s="290">
        <v>5000</v>
      </c>
      <c r="Q37" s="290"/>
      <c r="R37" s="290">
        <v>500</v>
      </c>
      <c r="S37" s="290"/>
      <c r="T37" s="290">
        <v>3500</v>
      </c>
      <c r="U37" s="290">
        <v>1100</v>
      </c>
      <c r="V37" s="290"/>
      <c r="W37" s="290"/>
      <c r="X37" s="266"/>
      <c r="Y37" s="266"/>
      <c r="Z37" s="266"/>
      <c r="AA37" s="266"/>
      <c r="AB37" s="266"/>
      <c r="AC37" s="266"/>
      <c r="AD37" s="268"/>
      <c r="AE37" s="291">
        <f t="shared" si="12"/>
        <v>48350</v>
      </c>
      <c r="AF37" s="291">
        <f t="shared" si="13"/>
        <v>43350</v>
      </c>
      <c r="AG37" s="291">
        <f t="shared" si="14"/>
        <v>0</v>
      </c>
      <c r="AH37" s="291"/>
      <c r="AI37" s="291"/>
      <c r="AJ37" s="291"/>
      <c r="AK37" s="291"/>
      <c r="AL37" s="291"/>
      <c r="AM37" s="291">
        <f t="shared" si="15"/>
        <v>0</v>
      </c>
      <c r="AN37" s="291">
        <f t="shared" si="16"/>
        <v>0</v>
      </c>
      <c r="AO37" s="291"/>
      <c r="AP37" s="291"/>
      <c r="AQ37" s="291"/>
      <c r="AR37" s="291"/>
      <c r="AS37" s="291"/>
      <c r="AT37" s="291"/>
    </row>
    <row r="38" spans="1:46" hidden="1">
      <c r="A38" s="265">
        <v>9</v>
      </c>
      <c r="B38" s="266" t="s">
        <v>924</v>
      </c>
      <c r="C38" s="290">
        <f t="shared" si="10"/>
        <v>173500</v>
      </c>
      <c r="D38" s="290">
        <f t="shared" si="11"/>
        <v>173500</v>
      </c>
      <c r="E38" s="290"/>
      <c r="F38" s="290">
        <v>2600</v>
      </c>
      <c r="G38" s="290">
        <v>500</v>
      </c>
      <c r="H38" s="290">
        <v>70000</v>
      </c>
      <c r="I38" s="290">
        <v>20500</v>
      </c>
      <c r="J38" s="290"/>
      <c r="K38" s="290">
        <v>29000</v>
      </c>
      <c r="L38" s="290">
        <v>4000</v>
      </c>
      <c r="M38" s="290"/>
      <c r="N38" s="290">
        <v>1900</v>
      </c>
      <c r="O38" s="290">
        <v>1000</v>
      </c>
      <c r="P38" s="290">
        <v>30000</v>
      </c>
      <c r="Q38" s="290"/>
      <c r="R38" s="290"/>
      <c r="S38" s="290"/>
      <c r="T38" s="290">
        <v>11000</v>
      </c>
      <c r="U38" s="290">
        <v>3000</v>
      </c>
      <c r="V38" s="290"/>
      <c r="W38" s="290"/>
      <c r="X38" s="266"/>
      <c r="Y38" s="266"/>
      <c r="Z38" s="266"/>
      <c r="AA38" s="266"/>
      <c r="AB38" s="266"/>
      <c r="AC38" s="266"/>
      <c r="AD38" s="268"/>
      <c r="AE38" s="291">
        <f t="shared" si="12"/>
        <v>164250</v>
      </c>
      <c r="AF38" s="291">
        <f t="shared" si="13"/>
        <v>134250</v>
      </c>
      <c r="AG38" s="291">
        <f t="shared" si="14"/>
        <v>9250</v>
      </c>
      <c r="AH38" s="291">
        <v>250</v>
      </c>
      <c r="AI38" s="291">
        <v>3500</v>
      </c>
      <c r="AJ38" s="291">
        <v>500</v>
      </c>
      <c r="AK38" s="291"/>
      <c r="AL38" s="291"/>
      <c r="AM38" s="291">
        <f t="shared" si="15"/>
        <v>0</v>
      </c>
      <c r="AN38" s="291">
        <f t="shared" si="16"/>
        <v>0</v>
      </c>
      <c r="AO38" s="291"/>
      <c r="AP38" s="291"/>
      <c r="AQ38" s="291">
        <v>5000</v>
      </c>
      <c r="AR38" s="291"/>
      <c r="AS38" s="291"/>
      <c r="AT38" s="291"/>
    </row>
    <row r="39" spans="1:46" hidden="1">
      <c r="A39" s="265">
        <v>10</v>
      </c>
      <c r="B39" s="266" t="s">
        <v>925</v>
      </c>
      <c r="C39" s="290">
        <f t="shared" si="10"/>
        <v>213000</v>
      </c>
      <c r="D39" s="290">
        <f t="shared" si="11"/>
        <v>213000</v>
      </c>
      <c r="E39" s="290"/>
      <c r="F39" s="290">
        <v>200</v>
      </c>
      <c r="G39" s="290"/>
      <c r="H39" s="290">
        <v>93275</v>
      </c>
      <c r="I39" s="290">
        <v>34000</v>
      </c>
      <c r="J39" s="290"/>
      <c r="K39" s="290">
        <v>30400</v>
      </c>
      <c r="L39" s="290">
        <v>4975</v>
      </c>
      <c r="M39" s="290"/>
      <c r="N39" s="290">
        <v>2000</v>
      </c>
      <c r="O39" s="290">
        <v>900</v>
      </c>
      <c r="P39" s="290">
        <v>30000</v>
      </c>
      <c r="Q39" s="290"/>
      <c r="R39" s="290"/>
      <c r="S39" s="290"/>
      <c r="T39" s="290">
        <v>14800</v>
      </c>
      <c r="U39" s="290">
        <v>2450</v>
      </c>
      <c r="V39" s="290"/>
      <c r="W39" s="290"/>
      <c r="X39" s="266"/>
      <c r="Y39" s="266"/>
      <c r="Z39" s="266"/>
      <c r="AA39" s="266"/>
      <c r="AB39" s="266"/>
      <c r="AC39" s="266"/>
      <c r="AD39" s="268"/>
      <c r="AE39" s="291">
        <f t="shared" si="12"/>
        <v>203350</v>
      </c>
      <c r="AF39" s="291">
        <f t="shared" si="13"/>
        <v>173350</v>
      </c>
      <c r="AG39" s="291">
        <f t="shared" si="14"/>
        <v>9650</v>
      </c>
      <c r="AH39" s="291">
        <v>2650</v>
      </c>
      <c r="AI39" s="291">
        <v>5000</v>
      </c>
      <c r="AJ39" s="291">
        <v>1000</v>
      </c>
      <c r="AK39" s="291"/>
      <c r="AL39" s="291">
        <v>1000</v>
      </c>
      <c r="AM39" s="291">
        <f t="shared" si="15"/>
        <v>0</v>
      </c>
      <c r="AN39" s="291">
        <f t="shared" si="16"/>
        <v>0</v>
      </c>
      <c r="AO39" s="291"/>
      <c r="AP39" s="291"/>
      <c r="AQ39" s="291"/>
      <c r="AR39" s="291"/>
      <c r="AS39" s="291"/>
      <c r="AT39" s="291"/>
    </row>
    <row r="40" spans="1:46" hidden="1">
      <c r="A40" s="265">
        <v>11</v>
      </c>
      <c r="B40" s="266" t="s">
        <v>926</v>
      </c>
      <c r="C40" s="290">
        <f t="shared" si="10"/>
        <v>52930</v>
      </c>
      <c r="D40" s="290">
        <f t="shared" si="11"/>
        <v>52930</v>
      </c>
      <c r="E40" s="290"/>
      <c r="F40" s="290">
        <v>1100</v>
      </c>
      <c r="G40" s="290"/>
      <c r="H40" s="290">
        <v>12095</v>
      </c>
      <c r="I40" s="290">
        <v>9800</v>
      </c>
      <c r="J40" s="290"/>
      <c r="K40" s="290">
        <v>8500</v>
      </c>
      <c r="L40" s="290">
        <v>2000</v>
      </c>
      <c r="M40" s="290"/>
      <c r="N40" s="290">
        <v>100</v>
      </c>
      <c r="O40" s="290">
        <v>200</v>
      </c>
      <c r="P40" s="290">
        <v>13000</v>
      </c>
      <c r="Q40" s="290"/>
      <c r="R40" s="290"/>
      <c r="S40" s="290"/>
      <c r="T40" s="290">
        <v>5135</v>
      </c>
      <c r="U40" s="290">
        <v>1000</v>
      </c>
      <c r="V40" s="290"/>
      <c r="W40" s="290"/>
      <c r="X40" s="266"/>
      <c r="Y40" s="266"/>
      <c r="Z40" s="266"/>
      <c r="AA40" s="266"/>
      <c r="AB40" s="266"/>
      <c r="AC40" s="266"/>
      <c r="AD40" s="268"/>
      <c r="AE40" s="291">
        <f t="shared" si="12"/>
        <v>49580</v>
      </c>
      <c r="AF40" s="291">
        <f t="shared" si="13"/>
        <v>36580</v>
      </c>
      <c r="AG40" s="291">
        <f t="shared" si="14"/>
        <v>3350</v>
      </c>
      <c r="AH40" s="291">
        <v>800</v>
      </c>
      <c r="AI40" s="291">
        <v>2500</v>
      </c>
      <c r="AJ40" s="291"/>
      <c r="AK40" s="291"/>
      <c r="AL40" s="291">
        <v>50</v>
      </c>
      <c r="AM40" s="291">
        <f t="shared" si="15"/>
        <v>0</v>
      </c>
      <c r="AN40" s="291">
        <f t="shared" si="16"/>
        <v>0</v>
      </c>
      <c r="AO40" s="291"/>
      <c r="AP40" s="291"/>
      <c r="AQ40" s="291"/>
      <c r="AR40" s="291"/>
      <c r="AS40" s="291"/>
      <c r="AT40" s="291"/>
    </row>
    <row r="41" spans="1:46" hidden="1">
      <c r="A41" s="265">
        <v>12</v>
      </c>
      <c r="B41" s="266" t="s">
        <v>927</v>
      </c>
      <c r="C41" s="290">
        <f t="shared" si="10"/>
        <v>0</v>
      </c>
      <c r="D41" s="290">
        <f t="shared" si="11"/>
        <v>0</v>
      </c>
      <c r="E41" s="290"/>
      <c r="F41" s="290"/>
      <c r="G41" s="290"/>
      <c r="H41" s="290"/>
      <c r="I41" s="290"/>
      <c r="J41" s="290"/>
      <c r="K41" s="290"/>
      <c r="L41" s="290"/>
      <c r="M41" s="290"/>
      <c r="N41" s="290"/>
      <c r="O41" s="290"/>
      <c r="P41" s="290"/>
      <c r="Q41" s="290"/>
      <c r="R41" s="290"/>
      <c r="S41" s="290"/>
      <c r="T41" s="290"/>
      <c r="U41" s="290"/>
      <c r="V41" s="290"/>
      <c r="W41" s="290"/>
      <c r="X41" s="266"/>
      <c r="Y41" s="266"/>
      <c r="Z41" s="266"/>
      <c r="AA41" s="266"/>
      <c r="AB41" s="266"/>
      <c r="AC41" s="266"/>
      <c r="AD41" s="268"/>
      <c r="AE41" s="291">
        <f t="shared" si="12"/>
        <v>0</v>
      </c>
      <c r="AF41" s="291">
        <f t="shared" si="13"/>
        <v>0</v>
      </c>
      <c r="AG41" s="291">
        <f t="shared" si="14"/>
        <v>0</v>
      </c>
      <c r="AH41" s="291"/>
      <c r="AI41" s="291"/>
      <c r="AJ41" s="291"/>
      <c r="AK41" s="291"/>
      <c r="AL41" s="291"/>
      <c r="AM41" s="291">
        <f t="shared" si="15"/>
        <v>0</v>
      </c>
      <c r="AN41" s="291">
        <f t="shared" si="16"/>
        <v>0</v>
      </c>
      <c r="AO41" s="291"/>
      <c r="AP41" s="291"/>
      <c r="AQ41" s="291"/>
      <c r="AR41" s="291"/>
      <c r="AS41" s="291"/>
      <c r="AT41" s="291"/>
    </row>
    <row r="42" spans="1:46">
      <c r="A42" s="265">
        <v>13</v>
      </c>
      <c r="B42" s="266" t="s">
        <v>928</v>
      </c>
      <c r="C42" s="290">
        <f t="shared" si="10"/>
        <v>0</v>
      </c>
      <c r="D42" s="290">
        <f t="shared" si="11"/>
        <v>0</v>
      </c>
      <c r="E42" s="290"/>
      <c r="F42" s="290"/>
      <c r="G42" s="290"/>
      <c r="H42" s="290"/>
      <c r="I42" s="290"/>
      <c r="J42" s="290"/>
      <c r="K42" s="290"/>
      <c r="L42" s="290"/>
      <c r="M42" s="290"/>
      <c r="N42" s="290"/>
      <c r="O42" s="290"/>
      <c r="P42" s="290"/>
      <c r="Q42" s="290"/>
      <c r="R42" s="290"/>
      <c r="S42" s="290"/>
      <c r="T42" s="290"/>
      <c r="U42" s="290"/>
      <c r="V42" s="290"/>
      <c r="W42" s="290"/>
      <c r="X42" s="266"/>
      <c r="Y42" s="266"/>
      <c r="Z42" s="266"/>
      <c r="AA42" s="266"/>
      <c r="AB42" s="266"/>
      <c r="AC42" s="266"/>
      <c r="AD42" s="268"/>
      <c r="AE42" s="291">
        <f t="shared" si="12"/>
        <v>0</v>
      </c>
      <c r="AF42" s="291">
        <f t="shared" si="13"/>
        <v>0</v>
      </c>
      <c r="AG42" s="291">
        <f t="shared" si="14"/>
        <v>0</v>
      </c>
      <c r="AH42" s="291"/>
      <c r="AI42" s="291"/>
      <c r="AJ42" s="291"/>
      <c r="AK42" s="291"/>
      <c r="AL42" s="291"/>
      <c r="AM42" s="291">
        <f t="shared" si="15"/>
        <v>0</v>
      </c>
      <c r="AN42" s="291">
        <f t="shared" si="16"/>
        <v>0</v>
      </c>
      <c r="AO42" s="291"/>
      <c r="AP42" s="291"/>
      <c r="AQ42" s="291"/>
      <c r="AR42" s="291"/>
      <c r="AS42" s="291"/>
      <c r="AT42" s="291"/>
    </row>
    <row r="43" spans="1:46" hidden="1">
      <c r="A43" s="265">
        <v>14</v>
      </c>
      <c r="B43" s="266" t="s">
        <v>929</v>
      </c>
      <c r="C43" s="290">
        <f t="shared" si="10"/>
        <v>40000</v>
      </c>
      <c r="D43" s="290">
        <f t="shared" si="11"/>
        <v>40000</v>
      </c>
      <c r="E43" s="290"/>
      <c r="F43" s="290">
        <v>2250</v>
      </c>
      <c r="G43" s="290"/>
      <c r="H43" s="290">
        <v>11300</v>
      </c>
      <c r="I43" s="290">
        <v>6500</v>
      </c>
      <c r="J43" s="290"/>
      <c r="K43" s="290">
        <v>5000</v>
      </c>
      <c r="L43" s="290">
        <v>2200</v>
      </c>
      <c r="M43" s="290"/>
      <c r="N43" s="290">
        <v>200</v>
      </c>
      <c r="O43" s="290">
        <v>50</v>
      </c>
      <c r="P43" s="290">
        <v>6700</v>
      </c>
      <c r="Q43" s="290"/>
      <c r="R43" s="290"/>
      <c r="S43" s="290"/>
      <c r="T43" s="290">
        <v>3300</v>
      </c>
      <c r="U43" s="290">
        <v>2500</v>
      </c>
      <c r="V43" s="290"/>
      <c r="W43" s="290"/>
      <c r="X43" s="266"/>
      <c r="Y43" s="266"/>
      <c r="Z43" s="266"/>
      <c r="AA43" s="266"/>
      <c r="AB43" s="266"/>
      <c r="AC43" s="266"/>
      <c r="AD43" s="268"/>
      <c r="AE43" s="291">
        <f t="shared" si="12"/>
        <v>37900</v>
      </c>
      <c r="AF43" s="291">
        <f t="shared" si="13"/>
        <v>31200</v>
      </c>
      <c r="AG43" s="291">
        <f t="shared" si="14"/>
        <v>2100</v>
      </c>
      <c r="AH43" s="291">
        <v>400</v>
      </c>
      <c r="AI43" s="291">
        <v>1100</v>
      </c>
      <c r="AJ43" s="291">
        <v>600</v>
      </c>
      <c r="AK43" s="291"/>
      <c r="AL43" s="291"/>
      <c r="AM43" s="291">
        <f t="shared" si="15"/>
        <v>0</v>
      </c>
      <c r="AN43" s="291">
        <f t="shared" si="16"/>
        <v>0</v>
      </c>
      <c r="AO43" s="291"/>
      <c r="AP43" s="291"/>
      <c r="AQ43" s="291"/>
      <c r="AR43" s="291"/>
      <c r="AS43" s="291"/>
      <c r="AT43" s="291"/>
    </row>
    <row r="44" spans="1:46" hidden="1">
      <c r="A44" s="265">
        <v>15</v>
      </c>
      <c r="B44" s="266" t="s">
        <v>930</v>
      </c>
      <c r="C44" s="290">
        <f t="shared" si="10"/>
        <v>40800</v>
      </c>
      <c r="D44" s="290">
        <f t="shared" si="11"/>
        <v>40800</v>
      </c>
      <c r="E44" s="290"/>
      <c r="F44" s="290">
        <v>1400</v>
      </c>
      <c r="G44" s="290"/>
      <c r="H44" s="290">
        <v>10900</v>
      </c>
      <c r="I44" s="290">
        <v>7800</v>
      </c>
      <c r="J44" s="290"/>
      <c r="K44" s="290">
        <v>5400</v>
      </c>
      <c r="L44" s="290">
        <v>1700</v>
      </c>
      <c r="M44" s="290"/>
      <c r="N44" s="290">
        <v>50</v>
      </c>
      <c r="O44" s="290">
        <v>50</v>
      </c>
      <c r="P44" s="290">
        <v>7000</v>
      </c>
      <c r="Q44" s="290"/>
      <c r="R44" s="290"/>
      <c r="S44" s="290"/>
      <c r="T44" s="290">
        <v>4800</v>
      </c>
      <c r="U44" s="290">
        <v>1700</v>
      </c>
      <c r="V44" s="290"/>
      <c r="W44" s="290"/>
      <c r="X44" s="266"/>
      <c r="Y44" s="266"/>
      <c r="Z44" s="266"/>
      <c r="AA44" s="266"/>
      <c r="AB44" s="266"/>
      <c r="AC44" s="266"/>
      <c r="AD44" s="268"/>
      <c r="AE44" s="291">
        <f t="shared" si="12"/>
        <v>37800</v>
      </c>
      <c r="AF44" s="291">
        <f t="shared" si="13"/>
        <v>30800</v>
      </c>
      <c r="AG44" s="291">
        <f t="shared" si="14"/>
        <v>3000</v>
      </c>
      <c r="AH44" s="291">
        <v>200</v>
      </c>
      <c r="AI44" s="291">
        <v>2300</v>
      </c>
      <c r="AJ44" s="291">
        <v>500</v>
      </c>
      <c r="AK44" s="291"/>
      <c r="AL44" s="291"/>
      <c r="AM44" s="291">
        <f t="shared" si="15"/>
        <v>0</v>
      </c>
      <c r="AN44" s="291">
        <f t="shared" si="16"/>
        <v>0</v>
      </c>
      <c r="AO44" s="291"/>
      <c r="AP44" s="291"/>
      <c r="AQ44" s="291"/>
      <c r="AR44" s="291"/>
      <c r="AS44" s="291"/>
      <c r="AT44" s="291"/>
    </row>
    <row r="45" spans="1:46">
      <c r="A45" s="458"/>
      <c r="B45" s="459"/>
      <c r="C45" s="459"/>
      <c r="D45" s="459"/>
      <c r="E45" s="459"/>
      <c r="F45" s="459"/>
      <c r="G45" s="459"/>
      <c r="H45" s="459"/>
      <c r="I45" s="459"/>
      <c r="J45" s="459"/>
      <c r="K45" s="459"/>
      <c r="L45" s="459"/>
      <c r="M45" s="459"/>
      <c r="N45" s="459"/>
      <c r="O45" s="459"/>
      <c r="P45" s="459"/>
      <c r="Q45" s="459"/>
      <c r="R45" s="459"/>
      <c r="S45" s="459"/>
      <c r="T45" s="459"/>
      <c r="U45" s="459"/>
      <c r="V45" s="459"/>
      <c r="W45" s="459"/>
      <c r="X45" s="459"/>
      <c r="Y45" s="459"/>
      <c r="Z45" s="459"/>
      <c r="AA45" s="459"/>
      <c r="AB45" s="459"/>
      <c r="AC45" s="459"/>
      <c r="AD45" s="268"/>
      <c r="AE45" s="291"/>
      <c r="AF45" s="291"/>
      <c r="AG45" s="291"/>
      <c r="AH45" s="291"/>
      <c r="AI45" s="291"/>
      <c r="AJ45" s="291"/>
      <c r="AK45" s="291"/>
      <c r="AL45" s="291"/>
      <c r="AM45" s="291"/>
      <c r="AN45" s="291"/>
      <c r="AO45" s="291"/>
      <c r="AP45" s="291"/>
      <c r="AQ45" s="291"/>
      <c r="AR45" s="291"/>
      <c r="AS45" s="291"/>
      <c r="AT45" s="291"/>
    </row>
    <row r="48" spans="1:46">
      <c r="B48" s="276" t="s">
        <v>1050</v>
      </c>
    </row>
    <row r="49" spans="2:44" hidden="1">
      <c r="B49" s="266" t="s">
        <v>918</v>
      </c>
      <c r="C49" s="298" t="e">
        <f>C11-C32</f>
        <v>#REF!</v>
      </c>
      <c r="D49" s="298" t="e">
        <f t="shared" ref="D49:AC49" si="17">D11-D32</f>
        <v>#REF!</v>
      </c>
      <c r="E49" s="298">
        <f t="shared" si="17"/>
        <v>0</v>
      </c>
      <c r="F49" s="298">
        <f t="shared" si="17"/>
        <v>7000</v>
      </c>
      <c r="G49" s="298">
        <f t="shared" si="17"/>
        <v>0</v>
      </c>
      <c r="H49" s="298">
        <f t="shared" si="17"/>
        <v>18500</v>
      </c>
      <c r="I49" s="298" t="e">
        <f t="shared" si="17"/>
        <v>#REF!</v>
      </c>
      <c r="J49" s="298" t="e">
        <f t="shared" si="17"/>
        <v>#REF!</v>
      </c>
      <c r="K49" s="298" t="e">
        <f t="shared" si="17"/>
        <v>#REF!</v>
      </c>
      <c r="L49" s="298" t="e">
        <f t="shared" si="17"/>
        <v>#REF!</v>
      </c>
      <c r="M49" s="298">
        <f t="shared" si="17"/>
        <v>0</v>
      </c>
      <c r="N49" s="298" t="e">
        <f t="shared" si="17"/>
        <v>#REF!</v>
      </c>
      <c r="O49" s="298" t="e">
        <f t="shared" si="17"/>
        <v>#REF!</v>
      </c>
      <c r="P49" s="298" t="e">
        <f t="shared" si="17"/>
        <v>#REF!</v>
      </c>
      <c r="Q49" s="298">
        <f t="shared" si="17"/>
        <v>0</v>
      </c>
      <c r="R49" s="298">
        <f t="shared" si="17"/>
        <v>0</v>
      </c>
      <c r="S49" s="298"/>
      <c r="T49" s="298" t="e">
        <f t="shared" si="17"/>
        <v>#REF!</v>
      </c>
      <c r="U49" s="298" t="e">
        <f t="shared" si="17"/>
        <v>#REF!</v>
      </c>
      <c r="V49" s="298">
        <f t="shared" si="17"/>
        <v>0</v>
      </c>
      <c r="W49" s="298">
        <f t="shared" si="17"/>
        <v>0</v>
      </c>
      <c r="X49" s="298">
        <f t="shared" si="17"/>
        <v>0</v>
      </c>
      <c r="Y49" s="298">
        <f t="shared" si="17"/>
        <v>0</v>
      </c>
      <c r="Z49" s="298">
        <f t="shared" si="17"/>
        <v>0</v>
      </c>
      <c r="AA49" s="298">
        <f t="shared" si="17"/>
        <v>0</v>
      </c>
      <c r="AB49" s="298">
        <f t="shared" si="17"/>
        <v>0</v>
      </c>
      <c r="AC49" s="298">
        <f t="shared" si="17"/>
        <v>0</v>
      </c>
    </row>
    <row r="50" spans="2:44" hidden="1">
      <c r="B50" s="463" t="s">
        <v>925</v>
      </c>
      <c r="C50" s="298" t="e">
        <f>C18-C39</f>
        <v>#REF!</v>
      </c>
      <c r="D50" s="298" t="e">
        <f t="shared" ref="D50:AC50" si="18">D18-D39</f>
        <v>#REF!</v>
      </c>
      <c r="E50" s="298" t="e">
        <f t="shared" si="18"/>
        <v>#REF!</v>
      </c>
      <c r="F50" s="298" t="e">
        <f t="shared" si="18"/>
        <v>#REF!</v>
      </c>
      <c r="G50" s="298" t="e">
        <f t="shared" si="18"/>
        <v>#REF!</v>
      </c>
      <c r="H50" s="298" t="e">
        <f t="shared" si="18"/>
        <v>#REF!</v>
      </c>
      <c r="I50" s="298" t="e">
        <f t="shared" si="18"/>
        <v>#REF!</v>
      </c>
      <c r="J50" s="298" t="e">
        <f t="shared" si="18"/>
        <v>#REF!</v>
      </c>
      <c r="K50" s="298" t="e">
        <f t="shared" si="18"/>
        <v>#REF!</v>
      </c>
      <c r="L50" s="298" t="e">
        <f t="shared" si="18"/>
        <v>#REF!</v>
      </c>
      <c r="M50" s="298" t="e">
        <f t="shared" si="18"/>
        <v>#REF!</v>
      </c>
      <c r="N50" s="298" t="e">
        <f t="shared" si="18"/>
        <v>#REF!</v>
      </c>
      <c r="O50" s="298" t="e">
        <f t="shared" si="18"/>
        <v>#REF!</v>
      </c>
      <c r="P50" s="298">
        <f t="shared" si="18"/>
        <v>20000</v>
      </c>
      <c r="Q50" s="298" t="e">
        <f t="shared" si="18"/>
        <v>#REF!</v>
      </c>
      <c r="R50" s="298" t="e">
        <f t="shared" si="18"/>
        <v>#REF!</v>
      </c>
      <c r="S50" s="298" t="e">
        <f t="shared" si="18"/>
        <v>#REF!</v>
      </c>
      <c r="T50" s="298" t="e">
        <f t="shared" si="18"/>
        <v>#REF!</v>
      </c>
      <c r="U50" s="298" t="e">
        <f t="shared" si="18"/>
        <v>#REF!</v>
      </c>
      <c r="V50" s="298">
        <f t="shared" si="18"/>
        <v>0</v>
      </c>
      <c r="W50" s="298">
        <f t="shared" si="18"/>
        <v>0</v>
      </c>
      <c r="X50" s="298">
        <f t="shared" si="18"/>
        <v>0</v>
      </c>
      <c r="Y50" s="298">
        <f t="shared" si="18"/>
        <v>0</v>
      </c>
      <c r="Z50" s="298">
        <f t="shared" si="18"/>
        <v>0</v>
      </c>
      <c r="AA50" s="298">
        <f t="shared" si="18"/>
        <v>0</v>
      </c>
      <c r="AB50" s="298">
        <f t="shared" si="18"/>
        <v>0</v>
      </c>
      <c r="AC50" s="298">
        <f t="shared" si="18"/>
        <v>0</v>
      </c>
    </row>
    <row r="51" spans="2:44" hidden="1">
      <c r="B51" s="463" t="s">
        <v>1079</v>
      </c>
      <c r="C51" s="298" t="e">
        <f>C9-C30</f>
        <v>#REF!</v>
      </c>
      <c r="D51" s="298" t="e">
        <f t="shared" ref="D51:AC51" si="19">D9-D30</f>
        <v>#REF!</v>
      </c>
      <c r="E51" s="298">
        <f t="shared" si="19"/>
        <v>0</v>
      </c>
      <c r="F51" s="298">
        <f t="shared" si="19"/>
        <v>-450</v>
      </c>
      <c r="G51" s="298">
        <f t="shared" si="19"/>
        <v>0</v>
      </c>
      <c r="H51" s="298">
        <f t="shared" si="19"/>
        <v>12650</v>
      </c>
      <c r="I51" s="298" t="e">
        <f t="shared" si="19"/>
        <v>#REF!</v>
      </c>
      <c r="J51" s="298" t="e">
        <f t="shared" si="19"/>
        <v>#REF!</v>
      </c>
      <c r="K51" s="298" t="e">
        <f t="shared" si="19"/>
        <v>#REF!</v>
      </c>
      <c r="L51" s="298" t="e">
        <f t="shared" si="19"/>
        <v>#REF!</v>
      </c>
      <c r="M51" s="298">
        <f t="shared" si="19"/>
        <v>0</v>
      </c>
      <c r="N51" s="298" t="e">
        <f t="shared" si="19"/>
        <v>#REF!</v>
      </c>
      <c r="O51" s="298" t="e">
        <f t="shared" si="19"/>
        <v>#REF!</v>
      </c>
      <c r="P51" s="298" t="e">
        <f t="shared" si="19"/>
        <v>#REF!</v>
      </c>
      <c r="Q51" s="298">
        <f t="shared" si="19"/>
        <v>0</v>
      </c>
      <c r="R51" s="298">
        <f t="shared" si="19"/>
        <v>0</v>
      </c>
      <c r="S51" s="298" t="e">
        <f t="shared" si="19"/>
        <v>#REF!</v>
      </c>
      <c r="T51" s="298" t="e">
        <f t="shared" si="19"/>
        <v>#REF!</v>
      </c>
      <c r="U51" s="298" t="e">
        <f t="shared" si="19"/>
        <v>#REF!</v>
      </c>
      <c r="V51" s="298">
        <f t="shared" si="19"/>
        <v>0</v>
      </c>
      <c r="W51" s="298">
        <f t="shared" si="19"/>
        <v>0</v>
      </c>
      <c r="X51" s="298">
        <f t="shared" si="19"/>
        <v>0</v>
      </c>
      <c r="Y51" s="298">
        <f t="shared" si="19"/>
        <v>0</v>
      </c>
      <c r="Z51" s="298">
        <f t="shared" si="19"/>
        <v>0</v>
      </c>
      <c r="AA51" s="298">
        <f t="shared" si="19"/>
        <v>0</v>
      </c>
      <c r="AB51" s="298">
        <f t="shared" si="19"/>
        <v>0</v>
      </c>
      <c r="AC51" s="298">
        <f t="shared" si="19"/>
        <v>0</v>
      </c>
    </row>
    <row r="52" spans="2:44" hidden="1">
      <c r="B52" s="463" t="s">
        <v>1086</v>
      </c>
      <c r="C52" s="298" t="e">
        <f>C12-C33</f>
        <v>#REF!</v>
      </c>
      <c r="D52" s="298" t="e">
        <f t="shared" ref="D52:AC52" si="20">D12-D33</f>
        <v>#REF!</v>
      </c>
      <c r="E52" s="298" t="e">
        <f t="shared" si="20"/>
        <v>#REF!</v>
      </c>
      <c r="F52" s="298" t="e">
        <f t="shared" si="20"/>
        <v>#REF!</v>
      </c>
      <c r="G52" s="298" t="e">
        <f t="shared" si="20"/>
        <v>#REF!</v>
      </c>
      <c r="H52" s="298" t="e">
        <f t="shared" si="20"/>
        <v>#REF!</v>
      </c>
      <c r="I52" s="298" t="e">
        <f t="shared" si="20"/>
        <v>#REF!</v>
      </c>
      <c r="J52" s="298" t="e">
        <f t="shared" si="20"/>
        <v>#REF!</v>
      </c>
      <c r="K52" s="298" t="e">
        <f t="shared" si="20"/>
        <v>#REF!</v>
      </c>
      <c r="L52" s="298" t="e">
        <f t="shared" si="20"/>
        <v>#REF!</v>
      </c>
      <c r="M52" s="298" t="e">
        <f t="shared" si="20"/>
        <v>#REF!</v>
      </c>
      <c r="N52" s="298" t="e">
        <f t="shared" si="20"/>
        <v>#REF!</v>
      </c>
      <c r="O52" s="298" t="e">
        <f t="shared" si="20"/>
        <v>#REF!</v>
      </c>
      <c r="P52" s="298" t="e">
        <f t="shared" si="20"/>
        <v>#REF!</v>
      </c>
      <c r="Q52" s="298" t="e">
        <f t="shared" si="20"/>
        <v>#REF!</v>
      </c>
      <c r="R52" s="298" t="e">
        <f t="shared" si="20"/>
        <v>#REF!</v>
      </c>
      <c r="S52" s="298" t="e">
        <f t="shared" si="20"/>
        <v>#REF!</v>
      </c>
      <c r="T52" s="298" t="e">
        <f t="shared" si="20"/>
        <v>#REF!</v>
      </c>
      <c r="U52" s="298" t="e">
        <f t="shared" si="20"/>
        <v>#REF!</v>
      </c>
      <c r="V52" s="298">
        <f t="shared" si="20"/>
        <v>0</v>
      </c>
      <c r="W52" s="298">
        <f t="shared" si="20"/>
        <v>0</v>
      </c>
      <c r="X52" s="298">
        <f t="shared" si="20"/>
        <v>0</v>
      </c>
      <c r="Y52" s="298">
        <f t="shared" si="20"/>
        <v>0</v>
      </c>
      <c r="Z52" s="298">
        <f t="shared" si="20"/>
        <v>0</v>
      </c>
      <c r="AA52" s="298">
        <f t="shared" si="20"/>
        <v>0</v>
      </c>
      <c r="AB52" s="298">
        <f t="shared" si="20"/>
        <v>0</v>
      </c>
      <c r="AC52" s="298">
        <f t="shared" si="20"/>
        <v>0</v>
      </c>
    </row>
    <row r="53" spans="2:44" hidden="1">
      <c r="B53" s="463" t="s">
        <v>924</v>
      </c>
      <c r="C53" s="298" t="e">
        <f>C17-C38</f>
        <v>#REF!</v>
      </c>
      <c r="D53" s="298" t="e">
        <f t="shared" ref="D53:AC53" si="21">D17-D38</f>
        <v>#REF!</v>
      </c>
      <c r="E53" s="298" t="e">
        <f t="shared" si="21"/>
        <v>#REF!</v>
      </c>
      <c r="F53" s="298" t="e">
        <f t="shared" si="21"/>
        <v>#REF!</v>
      </c>
      <c r="G53" s="298" t="e">
        <f t="shared" si="21"/>
        <v>#REF!</v>
      </c>
      <c r="H53" s="298" t="e">
        <f t="shared" si="21"/>
        <v>#REF!</v>
      </c>
      <c r="I53" s="298" t="e">
        <f t="shared" si="21"/>
        <v>#REF!</v>
      </c>
      <c r="J53" s="298" t="e">
        <f t="shared" si="21"/>
        <v>#REF!</v>
      </c>
      <c r="K53" s="298" t="e">
        <f t="shared" si="21"/>
        <v>#REF!</v>
      </c>
      <c r="L53" s="298" t="e">
        <f t="shared" si="21"/>
        <v>#REF!</v>
      </c>
      <c r="M53" s="298" t="e">
        <f t="shared" si="21"/>
        <v>#REF!</v>
      </c>
      <c r="N53" s="298" t="e">
        <f t="shared" si="21"/>
        <v>#REF!</v>
      </c>
      <c r="O53" s="298" t="e">
        <f t="shared" si="21"/>
        <v>#REF!</v>
      </c>
      <c r="P53" s="298" t="e">
        <f t="shared" si="21"/>
        <v>#REF!</v>
      </c>
      <c r="Q53" s="298" t="e">
        <f t="shared" si="21"/>
        <v>#REF!</v>
      </c>
      <c r="R53" s="298" t="e">
        <f t="shared" si="21"/>
        <v>#REF!</v>
      </c>
      <c r="S53" s="298" t="e">
        <f t="shared" si="21"/>
        <v>#REF!</v>
      </c>
      <c r="T53" s="298" t="e">
        <f t="shared" si="21"/>
        <v>#REF!</v>
      </c>
      <c r="U53" s="298" t="e">
        <f t="shared" si="21"/>
        <v>#REF!</v>
      </c>
      <c r="V53" s="298">
        <f t="shared" si="21"/>
        <v>0</v>
      </c>
      <c r="W53" s="298">
        <f t="shared" si="21"/>
        <v>0</v>
      </c>
      <c r="X53" s="298">
        <f t="shared" si="21"/>
        <v>0</v>
      </c>
      <c r="Y53" s="298">
        <f t="shared" si="21"/>
        <v>0</v>
      </c>
      <c r="Z53" s="298">
        <f t="shared" si="21"/>
        <v>0</v>
      </c>
      <c r="AA53" s="298">
        <f t="shared" si="21"/>
        <v>0</v>
      </c>
      <c r="AB53" s="298">
        <f t="shared" si="21"/>
        <v>0</v>
      </c>
      <c r="AC53" s="298">
        <f t="shared" si="21"/>
        <v>0</v>
      </c>
    </row>
    <row r="54" spans="2:44" hidden="1">
      <c r="B54" s="463" t="s">
        <v>1107</v>
      </c>
      <c r="C54" s="298" t="e">
        <f>C19-C40</f>
        <v>#REF!</v>
      </c>
      <c r="D54" s="298" t="e">
        <f t="shared" ref="D54:AC54" si="22">D19-D40</f>
        <v>#REF!</v>
      </c>
      <c r="E54" s="298" t="e">
        <f t="shared" si="22"/>
        <v>#REF!</v>
      </c>
      <c r="F54" s="298" t="e">
        <f t="shared" si="22"/>
        <v>#REF!</v>
      </c>
      <c r="G54" s="298" t="e">
        <f t="shared" si="22"/>
        <v>#REF!</v>
      </c>
      <c r="H54" s="298" t="e">
        <f t="shared" si="22"/>
        <v>#REF!</v>
      </c>
      <c r="I54" s="298" t="e">
        <f t="shared" si="22"/>
        <v>#REF!</v>
      </c>
      <c r="J54" s="298" t="e">
        <f t="shared" si="22"/>
        <v>#REF!</v>
      </c>
      <c r="K54" s="298" t="e">
        <f t="shared" si="22"/>
        <v>#REF!</v>
      </c>
      <c r="L54" s="298" t="e">
        <f t="shared" si="22"/>
        <v>#REF!</v>
      </c>
      <c r="M54" s="298" t="e">
        <f t="shared" si="22"/>
        <v>#REF!</v>
      </c>
      <c r="N54" s="298" t="e">
        <f t="shared" si="22"/>
        <v>#REF!</v>
      </c>
      <c r="O54" s="298" t="e">
        <f t="shared" si="22"/>
        <v>#REF!</v>
      </c>
      <c r="P54" s="298" t="e">
        <f t="shared" si="22"/>
        <v>#REF!</v>
      </c>
      <c r="Q54" s="298" t="e">
        <f t="shared" si="22"/>
        <v>#REF!</v>
      </c>
      <c r="R54" s="298" t="e">
        <f t="shared" si="22"/>
        <v>#REF!</v>
      </c>
      <c r="S54" s="298" t="e">
        <f t="shared" si="22"/>
        <v>#REF!</v>
      </c>
      <c r="T54" s="298" t="e">
        <f t="shared" si="22"/>
        <v>#REF!</v>
      </c>
      <c r="U54" s="298" t="e">
        <f t="shared" si="22"/>
        <v>#REF!</v>
      </c>
      <c r="V54" s="298">
        <f t="shared" si="22"/>
        <v>0</v>
      </c>
      <c r="W54" s="298">
        <f t="shared" si="22"/>
        <v>0</v>
      </c>
      <c r="X54" s="298">
        <f t="shared" si="22"/>
        <v>0</v>
      </c>
      <c r="Y54" s="298">
        <f t="shared" si="22"/>
        <v>0</v>
      </c>
      <c r="Z54" s="298">
        <f t="shared" si="22"/>
        <v>0</v>
      </c>
      <c r="AA54" s="298">
        <f t="shared" si="22"/>
        <v>0</v>
      </c>
      <c r="AB54" s="298">
        <f t="shared" si="22"/>
        <v>0</v>
      </c>
      <c r="AC54" s="298">
        <f t="shared" si="22"/>
        <v>0</v>
      </c>
    </row>
    <row r="55" spans="2:44" hidden="1">
      <c r="B55" s="463" t="s">
        <v>1108</v>
      </c>
      <c r="C55" s="298" t="e">
        <f>C22-C43</f>
        <v>#REF!</v>
      </c>
      <c r="D55" s="298" t="e">
        <f t="shared" ref="D55:AC55" si="23">D22-D43</f>
        <v>#REF!</v>
      </c>
      <c r="E55" s="298" t="e">
        <f t="shared" si="23"/>
        <v>#REF!</v>
      </c>
      <c r="F55" s="298" t="e">
        <f t="shared" si="23"/>
        <v>#REF!</v>
      </c>
      <c r="G55" s="298" t="e">
        <f t="shared" si="23"/>
        <v>#REF!</v>
      </c>
      <c r="H55" s="298" t="e">
        <f t="shared" si="23"/>
        <v>#REF!</v>
      </c>
      <c r="I55" s="298" t="e">
        <f t="shared" si="23"/>
        <v>#REF!</v>
      </c>
      <c r="J55" s="298" t="e">
        <f t="shared" si="23"/>
        <v>#REF!</v>
      </c>
      <c r="K55" s="298" t="e">
        <f t="shared" si="23"/>
        <v>#REF!</v>
      </c>
      <c r="L55" s="298" t="e">
        <f t="shared" si="23"/>
        <v>#REF!</v>
      </c>
      <c r="M55" s="298" t="e">
        <f t="shared" si="23"/>
        <v>#REF!</v>
      </c>
      <c r="N55" s="298" t="e">
        <f t="shared" si="23"/>
        <v>#REF!</v>
      </c>
      <c r="O55" s="298" t="e">
        <f t="shared" si="23"/>
        <v>#REF!</v>
      </c>
      <c r="P55" s="298" t="e">
        <f t="shared" si="23"/>
        <v>#REF!</v>
      </c>
      <c r="Q55" s="298" t="e">
        <f t="shared" si="23"/>
        <v>#REF!</v>
      </c>
      <c r="R55" s="298" t="e">
        <f t="shared" si="23"/>
        <v>#REF!</v>
      </c>
      <c r="S55" s="298" t="e">
        <f t="shared" si="23"/>
        <v>#REF!</v>
      </c>
      <c r="T55" s="298" t="e">
        <f t="shared" si="23"/>
        <v>#REF!</v>
      </c>
      <c r="U55" s="298" t="e">
        <f t="shared" si="23"/>
        <v>#REF!</v>
      </c>
      <c r="V55" s="298">
        <f t="shared" si="23"/>
        <v>0</v>
      </c>
      <c r="W55" s="298">
        <f t="shared" si="23"/>
        <v>0</v>
      </c>
      <c r="X55" s="298">
        <f t="shared" si="23"/>
        <v>0</v>
      </c>
      <c r="Y55" s="298">
        <f t="shared" si="23"/>
        <v>0</v>
      </c>
      <c r="Z55" s="298">
        <f t="shared" si="23"/>
        <v>0</v>
      </c>
      <c r="AA55" s="298">
        <f t="shared" si="23"/>
        <v>0</v>
      </c>
      <c r="AB55" s="298">
        <f t="shared" si="23"/>
        <v>0</v>
      </c>
      <c r="AC55" s="298">
        <f t="shared" si="23"/>
        <v>0</v>
      </c>
    </row>
    <row r="56" spans="2:44" hidden="1">
      <c r="B56" s="463" t="s">
        <v>1110</v>
      </c>
      <c r="C56" s="298" t="e">
        <f>C10-C31</f>
        <v>#REF!</v>
      </c>
      <c r="D56" s="298" t="e">
        <f t="shared" ref="D56:AR56" si="24">D10-D31</f>
        <v>#REF!</v>
      </c>
      <c r="E56" s="298" t="e">
        <f t="shared" si="24"/>
        <v>#REF!</v>
      </c>
      <c r="F56" s="298" t="e">
        <f t="shared" si="24"/>
        <v>#REF!</v>
      </c>
      <c r="G56" s="298" t="e">
        <f t="shared" si="24"/>
        <v>#REF!</v>
      </c>
      <c r="H56" s="298" t="e">
        <f t="shared" si="24"/>
        <v>#REF!</v>
      </c>
      <c r="I56" s="298" t="e">
        <f t="shared" si="24"/>
        <v>#REF!</v>
      </c>
      <c r="J56" s="298" t="e">
        <f t="shared" si="24"/>
        <v>#REF!</v>
      </c>
      <c r="K56" s="298" t="e">
        <f t="shared" si="24"/>
        <v>#REF!</v>
      </c>
      <c r="L56" s="298" t="e">
        <f t="shared" si="24"/>
        <v>#REF!</v>
      </c>
      <c r="M56" s="298" t="e">
        <f t="shared" si="24"/>
        <v>#REF!</v>
      </c>
      <c r="N56" s="298" t="e">
        <f t="shared" si="24"/>
        <v>#REF!</v>
      </c>
      <c r="O56" s="298" t="e">
        <f t="shared" si="24"/>
        <v>#REF!</v>
      </c>
      <c r="P56" s="298" t="e">
        <f t="shared" si="24"/>
        <v>#REF!</v>
      </c>
      <c r="Q56" s="298" t="e">
        <f t="shared" si="24"/>
        <v>#REF!</v>
      </c>
      <c r="R56" s="298" t="e">
        <f t="shared" si="24"/>
        <v>#REF!</v>
      </c>
      <c r="S56" s="298" t="e">
        <f t="shared" si="24"/>
        <v>#REF!</v>
      </c>
      <c r="T56" s="298" t="e">
        <f t="shared" si="24"/>
        <v>#REF!</v>
      </c>
      <c r="U56" s="298" t="e">
        <f t="shared" si="24"/>
        <v>#REF!</v>
      </c>
      <c r="V56" s="298">
        <f t="shared" si="24"/>
        <v>0</v>
      </c>
      <c r="W56" s="298">
        <f t="shared" si="24"/>
        <v>0</v>
      </c>
      <c r="X56" s="298">
        <f t="shared" si="24"/>
        <v>0</v>
      </c>
      <c r="Y56" s="298">
        <f t="shared" si="24"/>
        <v>0</v>
      </c>
      <c r="Z56" s="298">
        <f t="shared" si="24"/>
        <v>0</v>
      </c>
      <c r="AA56" s="298">
        <f t="shared" si="24"/>
        <v>0</v>
      </c>
      <c r="AB56" s="298">
        <f t="shared" si="24"/>
        <v>0</v>
      </c>
      <c r="AC56" s="298">
        <f t="shared" si="24"/>
        <v>0</v>
      </c>
      <c r="AD56" s="298">
        <f t="shared" si="24"/>
        <v>0</v>
      </c>
      <c r="AE56" s="298" t="e">
        <f t="shared" si="24"/>
        <v>#REF!</v>
      </c>
      <c r="AF56" s="298" t="e">
        <f t="shared" si="24"/>
        <v>#REF!</v>
      </c>
      <c r="AG56" s="298" t="e">
        <f t="shared" si="24"/>
        <v>#REF!</v>
      </c>
      <c r="AH56" s="298" t="e">
        <f t="shared" si="24"/>
        <v>#REF!</v>
      </c>
      <c r="AI56" s="298" t="e">
        <f t="shared" si="24"/>
        <v>#REF!</v>
      </c>
      <c r="AJ56" s="298" t="e">
        <f t="shared" si="24"/>
        <v>#REF!</v>
      </c>
      <c r="AK56" s="298">
        <f t="shared" si="24"/>
        <v>0</v>
      </c>
      <c r="AL56" s="298" t="e">
        <f t="shared" si="24"/>
        <v>#REF!</v>
      </c>
      <c r="AM56" s="298">
        <f t="shared" si="24"/>
        <v>0</v>
      </c>
      <c r="AN56" s="298" t="e">
        <f t="shared" si="24"/>
        <v>#REF!</v>
      </c>
      <c r="AO56" s="298"/>
      <c r="AP56" s="298" t="e">
        <f t="shared" si="24"/>
        <v>#REF!</v>
      </c>
      <c r="AQ56" s="298">
        <f t="shared" si="24"/>
        <v>0</v>
      </c>
      <c r="AR56" s="298">
        <f t="shared" si="24"/>
        <v>0</v>
      </c>
    </row>
    <row r="57" spans="2:44">
      <c r="B57" s="463" t="s">
        <v>1111</v>
      </c>
      <c r="C57" s="298" t="e">
        <f>C23-C44</f>
        <v>#REF!</v>
      </c>
      <c r="D57" s="298" t="e">
        <f t="shared" ref="D57:AR57" si="25">D23-D44</f>
        <v>#REF!</v>
      </c>
      <c r="E57" s="298" t="e">
        <f t="shared" si="25"/>
        <v>#REF!</v>
      </c>
      <c r="F57" s="298" t="e">
        <f t="shared" si="25"/>
        <v>#REF!</v>
      </c>
      <c r="G57" s="298" t="e">
        <f t="shared" si="25"/>
        <v>#REF!</v>
      </c>
      <c r="H57" s="298" t="e">
        <f t="shared" si="25"/>
        <v>#REF!</v>
      </c>
      <c r="I57" s="298" t="e">
        <f t="shared" si="25"/>
        <v>#REF!</v>
      </c>
      <c r="J57" s="298" t="e">
        <f t="shared" si="25"/>
        <v>#REF!</v>
      </c>
      <c r="K57" s="298" t="e">
        <f t="shared" si="25"/>
        <v>#REF!</v>
      </c>
      <c r="L57" s="298" t="e">
        <f t="shared" si="25"/>
        <v>#REF!</v>
      </c>
      <c r="M57" s="298" t="e">
        <f t="shared" si="25"/>
        <v>#REF!</v>
      </c>
      <c r="N57" s="298" t="e">
        <f t="shared" si="25"/>
        <v>#REF!</v>
      </c>
      <c r="O57" s="298" t="e">
        <f t="shared" si="25"/>
        <v>#REF!</v>
      </c>
      <c r="P57" s="298" t="e">
        <f t="shared" si="25"/>
        <v>#REF!</v>
      </c>
      <c r="Q57" s="298" t="e">
        <f t="shared" si="25"/>
        <v>#REF!</v>
      </c>
      <c r="R57" s="298" t="e">
        <f t="shared" si="25"/>
        <v>#REF!</v>
      </c>
      <c r="S57" s="298" t="e">
        <f t="shared" si="25"/>
        <v>#REF!</v>
      </c>
      <c r="T57" s="298" t="e">
        <f t="shared" si="25"/>
        <v>#REF!</v>
      </c>
      <c r="U57" s="298" t="e">
        <f t="shared" si="25"/>
        <v>#REF!</v>
      </c>
      <c r="V57" s="298">
        <f t="shared" si="25"/>
        <v>0</v>
      </c>
      <c r="W57" s="298">
        <f t="shared" si="25"/>
        <v>0</v>
      </c>
      <c r="X57" s="298">
        <f t="shared" si="25"/>
        <v>0</v>
      </c>
      <c r="Y57" s="298">
        <f t="shared" si="25"/>
        <v>0</v>
      </c>
      <c r="Z57" s="298">
        <f t="shared" si="25"/>
        <v>0</v>
      </c>
      <c r="AA57" s="298">
        <f t="shared" si="25"/>
        <v>0</v>
      </c>
      <c r="AB57" s="298">
        <f t="shared" si="25"/>
        <v>0</v>
      </c>
      <c r="AC57" s="298">
        <f t="shared" si="25"/>
        <v>0</v>
      </c>
      <c r="AD57" s="298">
        <f t="shared" si="25"/>
        <v>0</v>
      </c>
      <c r="AE57" s="298" t="e">
        <f t="shared" si="25"/>
        <v>#REF!</v>
      </c>
      <c r="AF57" s="298" t="e">
        <f t="shared" si="25"/>
        <v>#REF!</v>
      </c>
      <c r="AG57" s="298" t="e">
        <f t="shared" si="25"/>
        <v>#REF!</v>
      </c>
      <c r="AH57" s="298" t="e">
        <f t="shared" si="25"/>
        <v>#REF!</v>
      </c>
      <c r="AI57" s="298" t="e">
        <f t="shared" si="25"/>
        <v>#REF!</v>
      </c>
      <c r="AJ57" s="298" t="e">
        <f t="shared" si="25"/>
        <v>#REF!</v>
      </c>
      <c r="AK57" s="298">
        <f t="shared" si="25"/>
        <v>0</v>
      </c>
      <c r="AL57" s="298" t="e">
        <f t="shared" si="25"/>
        <v>#REF!</v>
      </c>
      <c r="AM57" s="298">
        <f t="shared" si="25"/>
        <v>0</v>
      </c>
      <c r="AN57" s="298" t="e">
        <f t="shared" si="25"/>
        <v>#REF!</v>
      </c>
      <c r="AO57" s="298"/>
      <c r="AP57" s="298" t="e">
        <f t="shared" si="25"/>
        <v>#REF!</v>
      </c>
      <c r="AQ57" s="298">
        <f t="shared" si="25"/>
        <v>0</v>
      </c>
      <c r="AR57" s="298">
        <f t="shared" si="25"/>
        <v>0</v>
      </c>
    </row>
    <row r="58" spans="2:44">
      <c r="B58" s="463" t="s">
        <v>1112</v>
      </c>
      <c r="C58" s="298" t="e">
        <f>C13-C34</f>
        <v>#REF!</v>
      </c>
      <c r="D58" s="298" t="e">
        <f t="shared" ref="D58:AD58" si="26">D13-D34</f>
        <v>#REF!</v>
      </c>
      <c r="E58" s="298" t="e">
        <f t="shared" si="26"/>
        <v>#REF!</v>
      </c>
      <c r="F58" s="298" t="e">
        <f t="shared" si="26"/>
        <v>#REF!</v>
      </c>
      <c r="G58" s="298" t="e">
        <f t="shared" si="26"/>
        <v>#REF!</v>
      </c>
      <c r="H58" s="298" t="e">
        <f t="shared" si="26"/>
        <v>#REF!</v>
      </c>
      <c r="I58" s="298" t="e">
        <f t="shared" si="26"/>
        <v>#REF!</v>
      </c>
      <c r="J58" s="298" t="e">
        <f t="shared" si="26"/>
        <v>#REF!</v>
      </c>
      <c r="K58" s="298" t="e">
        <f t="shared" si="26"/>
        <v>#REF!</v>
      </c>
      <c r="L58" s="298" t="e">
        <f t="shared" si="26"/>
        <v>#REF!</v>
      </c>
      <c r="M58" s="298" t="e">
        <f t="shared" si="26"/>
        <v>#REF!</v>
      </c>
      <c r="N58" s="298" t="e">
        <f t="shared" si="26"/>
        <v>#REF!</v>
      </c>
      <c r="O58" s="298" t="e">
        <f t="shared" si="26"/>
        <v>#REF!</v>
      </c>
      <c r="P58" s="298" t="e">
        <f t="shared" si="26"/>
        <v>#REF!</v>
      </c>
      <c r="Q58" s="298" t="e">
        <f t="shared" si="26"/>
        <v>#REF!</v>
      </c>
      <c r="R58" s="298" t="e">
        <f t="shared" si="26"/>
        <v>#REF!</v>
      </c>
      <c r="S58" s="298" t="e">
        <f t="shared" si="26"/>
        <v>#REF!</v>
      </c>
      <c r="T58" s="298" t="e">
        <f t="shared" si="26"/>
        <v>#REF!</v>
      </c>
      <c r="U58" s="298" t="e">
        <f t="shared" si="26"/>
        <v>#REF!</v>
      </c>
      <c r="V58" s="298">
        <f t="shared" si="26"/>
        <v>0</v>
      </c>
      <c r="W58" s="298">
        <f t="shared" si="26"/>
        <v>0</v>
      </c>
      <c r="X58" s="298">
        <f t="shared" si="26"/>
        <v>0</v>
      </c>
      <c r="Y58" s="298">
        <f t="shared" si="26"/>
        <v>0</v>
      </c>
      <c r="Z58" s="298">
        <f t="shared" si="26"/>
        <v>0</v>
      </c>
      <c r="AA58" s="298">
        <f t="shared" si="26"/>
        <v>0</v>
      </c>
      <c r="AB58" s="298">
        <f t="shared" si="26"/>
        <v>0</v>
      </c>
      <c r="AC58" s="298">
        <f t="shared" si="26"/>
        <v>0</v>
      </c>
      <c r="AD58" s="298">
        <f t="shared" si="26"/>
        <v>0</v>
      </c>
    </row>
    <row r="59" spans="2:44">
      <c r="B59" s="463" t="s">
        <v>1116</v>
      </c>
      <c r="C59" s="298" t="e">
        <f>C16-C37</f>
        <v>#REF!</v>
      </c>
      <c r="D59" s="298" t="e">
        <f t="shared" ref="D59:AC59" si="27">D16-D37</f>
        <v>#REF!</v>
      </c>
      <c r="E59" s="298" t="e">
        <f t="shared" si="27"/>
        <v>#REF!</v>
      </c>
      <c r="F59" s="298" t="e">
        <f t="shared" si="27"/>
        <v>#REF!</v>
      </c>
      <c r="G59" s="298" t="e">
        <f t="shared" si="27"/>
        <v>#REF!</v>
      </c>
      <c r="H59" s="298" t="e">
        <f t="shared" si="27"/>
        <v>#REF!</v>
      </c>
      <c r="I59" s="298" t="e">
        <f t="shared" si="27"/>
        <v>#REF!</v>
      </c>
      <c r="J59" s="298" t="e">
        <f t="shared" si="27"/>
        <v>#REF!</v>
      </c>
      <c r="K59" s="298" t="e">
        <f t="shared" si="27"/>
        <v>#REF!</v>
      </c>
      <c r="L59" s="298" t="e">
        <f t="shared" si="27"/>
        <v>#REF!</v>
      </c>
      <c r="M59" s="298" t="e">
        <f t="shared" si="27"/>
        <v>#REF!</v>
      </c>
      <c r="N59" s="298" t="e">
        <f t="shared" si="27"/>
        <v>#REF!</v>
      </c>
      <c r="O59" s="298" t="e">
        <f t="shared" si="27"/>
        <v>#REF!</v>
      </c>
      <c r="P59" s="298" t="e">
        <f t="shared" si="27"/>
        <v>#REF!</v>
      </c>
      <c r="Q59" s="298" t="e">
        <f t="shared" si="27"/>
        <v>#REF!</v>
      </c>
      <c r="R59" s="298" t="e">
        <f t="shared" si="27"/>
        <v>#REF!</v>
      </c>
      <c r="S59" s="298" t="e">
        <f t="shared" si="27"/>
        <v>#REF!</v>
      </c>
      <c r="T59" s="298" t="e">
        <f t="shared" si="27"/>
        <v>#REF!</v>
      </c>
      <c r="U59" s="298" t="e">
        <f t="shared" si="27"/>
        <v>#REF!</v>
      </c>
      <c r="V59" s="298">
        <f t="shared" si="27"/>
        <v>0</v>
      </c>
      <c r="W59" s="298">
        <f t="shared" si="27"/>
        <v>0</v>
      </c>
      <c r="X59" s="298">
        <f t="shared" si="27"/>
        <v>0</v>
      </c>
      <c r="Y59" s="298">
        <f t="shared" si="27"/>
        <v>0</v>
      </c>
      <c r="Z59" s="298">
        <f t="shared" si="27"/>
        <v>0</v>
      </c>
      <c r="AA59" s="298">
        <f t="shared" si="27"/>
        <v>0</v>
      </c>
      <c r="AB59" s="298">
        <f t="shared" si="27"/>
        <v>0</v>
      </c>
      <c r="AC59" s="298">
        <f t="shared" si="27"/>
        <v>0</v>
      </c>
      <c r="AD59" s="298"/>
    </row>
    <row r="60" spans="2:44">
      <c r="B60" s="463" t="s">
        <v>1117</v>
      </c>
      <c r="C60" s="298" t="e">
        <f>C21-C42</f>
        <v>#REF!</v>
      </c>
      <c r="D60" s="298" t="e">
        <f t="shared" ref="D60:AC60" si="28">D21-D42</f>
        <v>#REF!</v>
      </c>
      <c r="E60" s="298" t="e">
        <f t="shared" si="28"/>
        <v>#REF!</v>
      </c>
      <c r="F60" s="298" t="e">
        <f t="shared" si="28"/>
        <v>#REF!</v>
      </c>
      <c r="G60" s="298" t="e">
        <f t="shared" si="28"/>
        <v>#REF!</v>
      </c>
      <c r="H60" s="298" t="e">
        <f t="shared" si="28"/>
        <v>#REF!</v>
      </c>
      <c r="I60" s="298" t="e">
        <f t="shared" si="28"/>
        <v>#REF!</v>
      </c>
      <c r="J60" s="298" t="e">
        <f t="shared" si="28"/>
        <v>#REF!</v>
      </c>
      <c r="K60" s="298" t="e">
        <f t="shared" si="28"/>
        <v>#REF!</v>
      </c>
      <c r="L60" s="298" t="e">
        <f t="shared" si="28"/>
        <v>#REF!</v>
      </c>
      <c r="M60" s="298" t="e">
        <f t="shared" si="28"/>
        <v>#REF!</v>
      </c>
      <c r="N60" s="298" t="e">
        <f t="shared" si="28"/>
        <v>#REF!</v>
      </c>
      <c r="O60" s="298" t="e">
        <f t="shared" si="28"/>
        <v>#REF!</v>
      </c>
      <c r="P60" s="298" t="e">
        <f t="shared" si="28"/>
        <v>#REF!</v>
      </c>
      <c r="Q60" s="298" t="e">
        <f t="shared" si="28"/>
        <v>#REF!</v>
      </c>
      <c r="R60" s="298" t="e">
        <f t="shared" si="28"/>
        <v>#REF!</v>
      </c>
      <c r="S60" s="298" t="e">
        <f t="shared" si="28"/>
        <v>#REF!</v>
      </c>
      <c r="T60" s="298" t="e">
        <f t="shared" si="28"/>
        <v>#REF!</v>
      </c>
      <c r="U60" s="298" t="e">
        <f t="shared" si="28"/>
        <v>#REF!</v>
      </c>
      <c r="V60" s="298">
        <f t="shared" si="28"/>
        <v>0</v>
      </c>
      <c r="W60" s="298">
        <f t="shared" si="28"/>
        <v>0</v>
      </c>
      <c r="X60" s="298">
        <f t="shared" si="28"/>
        <v>0</v>
      </c>
      <c r="Y60" s="298">
        <f t="shared" si="28"/>
        <v>0</v>
      </c>
      <c r="Z60" s="298">
        <f t="shared" si="28"/>
        <v>0</v>
      </c>
      <c r="AA60" s="298">
        <f t="shared" si="28"/>
        <v>0</v>
      </c>
      <c r="AB60" s="298">
        <f t="shared" si="28"/>
        <v>0</v>
      </c>
      <c r="AC60" s="298">
        <f t="shared" si="28"/>
        <v>0</v>
      </c>
    </row>
    <row r="62" spans="2:44">
      <c r="B62" s="276" t="s">
        <v>1078</v>
      </c>
    </row>
    <row r="63" spans="2:44">
      <c r="B63" s="266" t="s">
        <v>918</v>
      </c>
      <c r="C63" s="276" t="s">
        <v>1069</v>
      </c>
      <c r="D63" s="298"/>
    </row>
    <row r="64" spans="2:44">
      <c r="B64" s="463" t="s">
        <v>925</v>
      </c>
    </row>
    <row r="65" spans="2:35">
      <c r="B65" s="463" t="s">
        <v>1082</v>
      </c>
      <c r="C65" s="290" t="s">
        <v>1069</v>
      </c>
      <c r="D65" s="290">
        <f>SUM(E65:U65)</f>
        <v>530000</v>
      </c>
      <c r="F65" s="276">
        <v>19550</v>
      </c>
      <c r="H65" s="276">
        <f>221150-5000</f>
        <v>216150</v>
      </c>
      <c r="I65" s="276">
        <v>63000</v>
      </c>
      <c r="K65" s="276">
        <v>72000</v>
      </c>
      <c r="L65" s="276">
        <v>45750</v>
      </c>
      <c r="N65" s="276">
        <v>9550</v>
      </c>
      <c r="O65" s="276">
        <v>12000</v>
      </c>
      <c r="P65" s="276">
        <v>50000</v>
      </c>
      <c r="T65" s="276">
        <v>40000</v>
      </c>
      <c r="U65" s="276">
        <v>2000</v>
      </c>
      <c r="AI65" s="276">
        <v>28000</v>
      </c>
    </row>
    <row r="66" spans="2:35">
      <c r="B66" s="463" t="s">
        <v>1083</v>
      </c>
    </row>
    <row r="67" spans="2:35" s="298" customFormat="1">
      <c r="B67" s="464" t="s">
        <v>1102</v>
      </c>
      <c r="C67" s="298">
        <f>D67-P67</f>
        <v>178500</v>
      </c>
      <c r="D67" s="290">
        <f>SUM(E67:U67)</f>
        <v>218500</v>
      </c>
      <c r="F67" s="298">
        <v>3000</v>
      </c>
      <c r="H67" s="298">
        <v>81200</v>
      </c>
      <c r="I67" s="298">
        <v>31000</v>
      </c>
      <c r="J67" s="298">
        <v>500</v>
      </c>
      <c r="K67" s="298">
        <v>33000</v>
      </c>
      <c r="L67" s="298">
        <v>6500</v>
      </c>
      <c r="N67" s="298">
        <v>2300</v>
      </c>
      <c r="O67" s="298">
        <v>4000</v>
      </c>
      <c r="P67" s="298">
        <v>40000</v>
      </c>
      <c r="T67" s="298">
        <v>13500</v>
      </c>
      <c r="U67" s="298">
        <v>3500</v>
      </c>
    </row>
    <row r="68" spans="2:35">
      <c r="B68" s="463" t="s">
        <v>1100</v>
      </c>
      <c r="C68" s="276" t="s">
        <v>1106</v>
      </c>
    </row>
    <row r="69" spans="2:35">
      <c r="B69" s="463" t="s">
        <v>1091</v>
      </c>
    </row>
  </sheetData>
  <customSheetViews>
    <customSheetView guid="{9F606621-8853-4836-9A7E-DBA5CF152671}" showPageBreaks="1" hiddenRows="1" topLeftCell="A4">
      <selection activeCell="H17" sqref="H17"/>
      <pageMargins left="0.23" right="0.17" top="0.74803149606299213" bottom="0.19" header="0.31496062992125984" footer="0.17"/>
      <pageSetup paperSize="9" scale="65" orientation="landscape" r:id="rId1"/>
    </customSheetView>
    <customSheetView guid="{DB9039ED-C6EA-422D-9A5D-D152D95EDC67}" showPageBreaks="1" printArea="1" hiddenRows="1" hiddenColumns="1" topLeftCell="A5">
      <pane xSplit="2" ySplit="3" topLeftCell="AS16" activePane="bottomRight" state="frozen"/>
      <selection pane="bottomRight" activeCell="AX9" sqref="AX9:AX23"/>
      <pageMargins left="0.70866141732283472" right="0.35433070866141736" top="0.74803149606299213" bottom="0.19685039370078741" header="0.31496062992125984" footer="0.15748031496062992"/>
      <printOptions horizontalCentered="1"/>
      <pageSetup paperSize="8" scale="92" orientation="landscape" blackAndWhite="1" r:id="rId2"/>
    </customSheetView>
  </customSheetViews>
  <mergeCells count="14">
    <mergeCell ref="AL5:AP5"/>
    <mergeCell ref="AQ5:AQ6"/>
    <mergeCell ref="AR5:AR6"/>
    <mergeCell ref="A2:Z2"/>
    <mergeCell ref="A3:Z3"/>
    <mergeCell ref="D5:D6"/>
    <mergeCell ref="B5:B6"/>
    <mergeCell ref="A5:A6"/>
    <mergeCell ref="C5:C6"/>
    <mergeCell ref="E5:U5"/>
    <mergeCell ref="V5:V6"/>
    <mergeCell ref="W5:W6"/>
    <mergeCell ref="X5:AC5"/>
    <mergeCell ref="AH5:AK5"/>
  </mergeCells>
  <pageMargins left="0.23" right="0.17" top="0.74803149606299213" bottom="0.19" header="0.31496062992125984" footer="0.17"/>
  <pageSetup paperSize="9" scale="65" orientation="landscape" r:id="rId3"/>
  <legacyDrawing r:id="rId4"/>
</worksheet>
</file>

<file path=xl/worksheets/sheet33.xml><?xml version="1.0" encoding="utf-8"?>
<worksheet xmlns="http://schemas.openxmlformats.org/spreadsheetml/2006/main" xmlns:r="http://schemas.openxmlformats.org/officeDocument/2006/relationships">
  <dimension ref="A1:X58"/>
  <sheetViews>
    <sheetView zoomScale="75" workbookViewId="0">
      <pane xSplit="2" ySplit="7" topLeftCell="D11" activePane="bottomRight" state="frozen"/>
      <selection pane="topRight" activeCell="C1" sqref="C1"/>
      <selection pane="bottomLeft" activeCell="A8" sqref="A8"/>
      <selection pane="bottomRight" activeCell="G5" sqref="G5"/>
    </sheetView>
  </sheetViews>
  <sheetFormatPr defaultRowHeight="15"/>
  <cols>
    <col min="1" max="1" width="6.28515625" customWidth="1"/>
    <col min="2" max="2" width="47.42578125" customWidth="1"/>
    <col min="3" max="5" width="12.85546875" customWidth="1"/>
    <col min="9" max="24" width="8.85546875" style="196"/>
  </cols>
  <sheetData>
    <row r="1" spans="1:24" ht="35.450000000000003" customHeight="1">
      <c r="E1" s="447" t="s">
        <v>578</v>
      </c>
    </row>
    <row r="2" spans="1:24" ht="49.9" customHeight="1">
      <c r="A2" s="781" t="s">
        <v>849</v>
      </c>
      <c r="B2" s="781"/>
      <c r="C2" s="781"/>
      <c r="D2" s="781"/>
      <c r="E2" s="781"/>
    </row>
    <row r="3" spans="1:24" ht="15.75">
      <c r="A3" s="781"/>
      <c r="B3" s="781"/>
      <c r="C3" s="781"/>
      <c r="D3" s="781"/>
      <c r="E3" s="781"/>
    </row>
    <row r="4" spans="1:24" ht="15.75">
      <c r="E4" s="27" t="s">
        <v>56</v>
      </c>
    </row>
    <row r="5" spans="1:24" ht="15.75">
      <c r="A5" s="773" t="s">
        <v>3</v>
      </c>
      <c r="B5" s="773" t="s">
        <v>4</v>
      </c>
      <c r="C5" s="773" t="s">
        <v>493</v>
      </c>
      <c r="D5" s="773" t="s">
        <v>468</v>
      </c>
      <c r="E5" s="773"/>
    </row>
    <row r="6" spans="1:24" ht="57" customHeight="1">
      <c r="A6" s="773"/>
      <c r="B6" s="773"/>
      <c r="C6" s="773"/>
      <c r="D6" s="30" t="s">
        <v>834</v>
      </c>
      <c r="E6" s="30" t="s">
        <v>317</v>
      </c>
      <c r="G6" s="316"/>
      <c r="H6" s="316"/>
      <c r="I6" s="316"/>
      <c r="J6" s="316"/>
      <c r="K6" s="316"/>
      <c r="L6" s="316"/>
      <c r="M6" s="316"/>
      <c r="N6" s="316"/>
      <c r="O6" s="322"/>
      <c r="P6" s="316"/>
      <c r="Q6" s="316"/>
      <c r="R6" s="316"/>
      <c r="S6" s="316"/>
      <c r="T6" s="316"/>
      <c r="U6" s="316"/>
      <c r="V6" s="316"/>
      <c r="W6" s="178"/>
      <c r="X6" s="178"/>
    </row>
    <row r="7" spans="1:24" ht="15.75">
      <c r="A7" s="30" t="s">
        <v>15</v>
      </c>
      <c r="B7" s="30" t="s">
        <v>16</v>
      </c>
      <c r="C7" s="30" t="s">
        <v>494</v>
      </c>
      <c r="D7" s="30">
        <v>2</v>
      </c>
      <c r="E7" s="30">
        <v>3</v>
      </c>
    </row>
    <row r="8" spans="1:24" s="101" customFormat="1" ht="15.75">
      <c r="A8" s="71"/>
      <c r="B8" s="72" t="s">
        <v>90</v>
      </c>
      <c r="C8" s="167" t="e">
        <f>D8+E8</f>
        <v>#REF!</v>
      </c>
      <c r="D8" s="167" t="e">
        <f>D9+D28</f>
        <v>#REF!</v>
      </c>
      <c r="E8" s="167">
        <f>E9+E28</f>
        <v>5619961</v>
      </c>
      <c r="I8" s="226"/>
      <c r="J8" s="226"/>
      <c r="K8" s="226"/>
      <c r="L8" s="226"/>
      <c r="M8" s="226"/>
      <c r="N8" s="226"/>
      <c r="O8" s="226"/>
      <c r="P8" s="226"/>
      <c r="Q8" s="226"/>
      <c r="R8" s="226"/>
      <c r="S8" s="226"/>
      <c r="T8" s="226"/>
      <c r="U8" s="226"/>
      <c r="V8" s="226"/>
      <c r="W8" s="226"/>
      <c r="X8" s="226"/>
    </row>
    <row r="9" spans="1:24" s="101" customFormat="1" ht="15.75">
      <c r="A9" s="74" t="s">
        <v>15</v>
      </c>
      <c r="B9" s="427" t="s">
        <v>386</v>
      </c>
      <c r="C9" s="168">
        <f>+D9+E9</f>
        <v>10891523</v>
      </c>
      <c r="D9" s="168">
        <f>D10+D20+D24+D25+D26+D27</f>
        <v>5271562</v>
      </c>
      <c r="E9" s="168">
        <f>E10+E20+E24+E25+E26+E27</f>
        <v>5619961</v>
      </c>
      <c r="H9" s="331">
        <f>+C9-10847927</f>
        <v>43596</v>
      </c>
      <c r="I9" s="226"/>
      <c r="J9" s="226"/>
      <c r="K9" s="226"/>
      <c r="L9" s="226"/>
      <c r="M9" s="226"/>
      <c r="N9" s="226"/>
      <c r="O9" s="226"/>
      <c r="P9" s="226"/>
      <c r="Q9" s="226"/>
      <c r="R9" s="226"/>
      <c r="S9" s="226"/>
      <c r="T9" s="226"/>
      <c r="U9" s="226"/>
      <c r="V9" s="226"/>
      <c r="W9" s="226"/>
      <c r="X9" s="226"/>
    </row>
    <row r="10" spans="1:24" s="101" customFormat="1" ht="15.75">
      <c r="A10" s="74" t="s">
        <v>83</v>
      </c>
      <c r="B10" s="427" t="s">
        <v>579</v>
      </c>
      <c r="C10" s="168">
        <f t="shared" ref="C10:C55" si="0">+D10+E10</f>
        <v>3007216</v>
      </c>
      <c r="D10" s="168">
        <f>D11+D18+D19</f>
        <v>2188302</v>
      </c>
      <c r="E10" s="168">
        <f>E11+E18+E19</f>
        <v>818914</v>
      </c>
      <c r="I10" s="226"/>
      <c r="J10" s="226"/>
      <c r="K10" s="226"/>
      <c r="L10" s="226"/>
      <c r="M10" s="226"/>
      <c r="N10" s="226"/>
      <c r="O10" s="226"/>
      <c r="P10" s="226"/>
      <c r="Q10" s="226"/>
      <c r="R10" s="226"/>
      <c r="S10" s="226"/>
      <c r="T10" s="226"/>
      <c r="U10" s="226"/>
      <c r="V10" s="226"/>
      <c r="W10" s="226"/>
      <c r="X10" s="226"/>
    </row>
    <row r="11" spans="1:24" ht="15.75">
      <c r="A11" s="76">
        <v>1</v>
      </c>
      <c r="B11" s="77" t="s">
        <v>387</v>
      </c>
      <c r="C11" s="158">
        <f t="shared" si="0"/>
        <v>3007216</v>
      </c>
      <c r="D11" s="158">
        <f>'49-CK NSNN'!D12</f>
        <v>2188302</v>
      </c>
      <c r="E11" s="158">
        <f>'49-CK NSNN'!E12</f>
        <v>818914</v>
      </c>
    </row>
    <row r="12" spans="1:24" ht="15.75">
      <c r="A12" s="76"/>
      <c r="B12" s="78" t="s">
        <v>388</v>
      </c>
      <c r="C12" s="158">
        <f t="shared" si="0"/>
        <v>0</v>
      </c>
      <c r="D12" s="158"/>
      <c r="E12" s="158"/>
    </row>
    <row r="13" spans="1:24" ht="15.75">
      <c r="A13" s="76" t="s">
        <v>22</v>
      </c>
      <c r="B13" s="78" t="s">
        <v>389</v>
      </c>
      <c r="C13" s="158">
        <f t="shared" si="0"/>
        <v>0</v>
      </c>
      <c r="D13" s="158"/>
      <c r="E13" s="158"/>
    </row>
    <row r="14" spans="1:24" ht="15.75">
      <c r="A14" s="76" t="s">
        <v>22</v>
      </c>
      <c r="B14" s="78" t="s">
        <v>580</v>
      </c>
      <c r="C14" s="158">
        <f t="shared" si="0"/>
        <v>0</v>
      </c>
      <c r="D14" s="158"/>
      <c r="E14" s="158"/>
    </row>
    <row r="15" spans="1:24" ht="15.75">
      <c r="A15" s="76"/>
      <c r="B15" s="78" t="s">
        <v>391</v>
      </c>
      <c r="C15" s="158">
        <f t="shared" si="0"/>
        <v>0</v>
      </c>
      <c r="D15" s="158"/>
      <c r="E15" s="158"/>
    </row>
    <row r="16" spans="1:24" ht="15.75">
      <c r="A16" s="76" t="s">
        <v>22</v>
      </c>
      <c r="B16" s="78" t="s">
        <v>392</v>
      </c>
      <c r="C16" s="158">
        <f t="shared" si="0"/>
        <v>660000</v>
      </c>
      <c r="D16" s="158">
        <f>'49-CK NSNN'!D20</f>
        <v>206000</v>
      </c>
      <c r="E16" s="158">
        <f>'49-CK NSNN'!E20</f>
        <v>454000</v>
      </c>
    </row>
    <row r="17" spans="1:24" ht="15.75">
      <c r="A17" s="76" t="s">
        <v>22</v>
      </c>
      <c r="B17" s="78" t="s">
        <v>499</v>
      </c>
      <c r="C17" s="158">
        <f t="shared" si="0"/>
        <v>1200000</v>
      </c>
      <c r="D17" s="568">
        <f>'49-CK NSNN'!D21</f>
        <v>1100000</v>
      </c>
      <c r="E17" s="568">
        <f>'49-CK NSNN'!E21</f>
        <v>100000</v>
      </c>
    </row>
    <row r="18" spans="1:24" ht="63">
      <c r="A18" s="76">
        <v>2</v>
      </c>
      <c r="B18" s="77" t="s">
        <v>394</v>
      </c>
      <c r="C18" s="158">
        <f t="shared" si="0"/>
        <v>0</v>
      </c>
      <c r="D18" s="158">
        <f>'49-CK NSNN'!D22</f>
        <v>0</v>
      </c>
      <c r="E18" s="158"/>
    </row>
    <row r="19" spans="1:24" ht="15.75">
      <c r="A19" s="76">
        <v>3</v>
      </c>
      <c r="B19" s="77" t="s">
        <v>395</v>
      </c>
      <c r="C19" s="158">
        <f t="shared" si="0"/>
        <v>0</v>
      </c>
      <c r="D19" s="158"/>
      <c r="E19" s="158"/>
    </row>
    <row r="20" spans="1:24" s="101" customFormat="1" ht="15.75">
      <c r="A20" s="74" t="s">
        <v>70</v>
      </c>
      <c r="B20" s="427" t="s">
        <v>96</v>
      </c>
      <c r="C20" s="168">
        <f t="shared" si="0"/>
        <v>7179056</v>
      </c>
      <c r="D20" s="168">
        <f>'49-CK NSNN'!D24</f>
        <v>2627125</v>
      </c>
      <c r="E20" s="168">
        <f>'49-CK NSNN'!E24</f>
        <v>4551931</v>
      </c>
      <c r="I20" s="226"/>
      <c r="J20" s="226"/>
      <c r="K20" s="226"/>
      <c r="L20" s="226"/>
      <c r="M20" s="226"/>
      <c r="N20" s="226"/>
      <c r="O20" s="226"/>
      <c r="P20" s="226"/>
      <c r="Q20" s="226"/>
      <c r="R20" s="226"/>
      <c r="S20" s="226"/>
      <c r="T20" s="226"/>
      <c r="U20" s="226"/>
      <c r="V20" s="226"/>
      <c r="W20" s="226"/>
      <c r="X20" s="226"/>
    </row>
    <row r="21" spans="1:24" ht="15.75">
      <c r="A21" s="76"/>
      <c r="B21" s="78" t="s">
        <v>134</v>
      </c>
      <c r="C21" s="158">
        <f t="shared" si="0"/>
        <v>0</v>
      </c>
      <c r="D21" s="158"/>
      <c r="E21" s="158"/>
    </row>
    <row r="22" spans="1:24" ht="15.75">
      <c r="A22" s="76">
        <v>1</v>
      </c>
      <c r="B22" s="78" t="s">
        <v>389</v>
      </c>
      <c r="C22" s="158">
        <f t="shared" si="0"/>
        <v>3008759</v>
      </c>
      <c r="D22" s="158">
        <f>'49-CK NSNN'!D26</f>
        <v>694763</v>
      </c>
      <c r="E22" s="158">
        <f>'49-CK NSNN'!E26</f>
        <v>2313996</v>
      </c>
    </row>
    <row r="23" spans="1:24" ht="15.75">
      <c r="A23" s="76">
        <v>2</v>
      </c>
      <c r="B23" s="78" t="s">
        <v>429</v>
      </c>
      <c r="C23" s="158">
        <f t="shared" si="0"/>
        <v>27586</v>
      </c>
      <c r="D23" s="158">
        <f>'49-CK NSNN'!D29</f>
        <v>27586</v>
      </c>
      <c r="E23" s="158"/>
    </row>
    <row r="24" spans="1:24" s="101" customFormat="1" ht="31.5">
      <c r="A24" s="74" t="s">
        <v>73</v>
      </c>
      <c r="B24" s="427" t="s">
        <v>406</v>
      </c>
      <c r="C24" s="168">
        <f t="shared" si="0"/>
        <v>22624</v>
      </c>
      <c r="D24" s="168">
        <f>'49-CK NSNN'!D38</f>
        <v>22624</v>
      </c>
      <c r="E24" s="168">
        <f>'49-CK NSNN'!E38</f>
        <v>0</v>
      </c>
      <c r="I24" s="226"/>
      <c r="J24" s="226"/>
      <c r="K24" s="226"/>
      <c r="L24" s="226"/>
      <c r="M24" s="226"/>
      <c r="N24" s="226"/>
      <c r="O24" s="226"/>
      <c r="P24" s="226"/>
      <c r="Q24" s="226"/>
      <c r="R24" s="226"/>
      <c r="S24" s="226"/>
      <c r="T24" s="226"/>
      <c r="U24" s="226"/>
      <c r="V24" s="226"/>
      <c r="W24" s="226"/>
      <c r="X24" s="226"/>
    </row>
    <row r="25" spans="1:24" s="101" customFormat="1" ht="15.75">
      <c r="A25" s="74" t="s">
        <v>77</v>
      </c>
      <c r="B25" s="427" t="s">
        <v>407</v>
      </c>
      <c r="C25" s="168">
        <f t="shared" si="0"/>
        <v>1260</v>
      </c>
      <c r="D25" s="168">
        <f>'49-CK NSNN'!D39</f>
        <v>1260</v>
      </c>
      <c r="E25" s="168">
        <f>'49-CK NSNN'!E39</f>
        <v>0</v>
      </c>
      <c r="I25" s="226"/>
      <c r="J25" s="226"/>
      <c r="K25" s="226"/>
      <c r="L25" s="226"/>
      <c r="M25" s="226"/>
      <c r="N25" s="226"/>
      <c r="O25" s="226"/>
      <c r="P25" s="226"/>
      <c r="Q25" s="226"/>
      <c r="R25" s="226"/>
      <c r="S25" s="226"/>
      <c r="T25" s="226"/>
      <c r="U25" s="226"/>
      <c r="V25" s="226"/>
      <c r="W25" s="226"/>
      <c r="X25" s="226"/>
    </row>
    <row r="26" spans="1:24" s="101" customFormat="1" ht="15.75">
      <c r="A26" s="74" t="s">
        <v>113</v>
      </c>
      <c r="B26" s="427" t="s">
        <v>241</v>
      </c>
      <c r="C26" s="168">
        <f t="shared" si="0"/>
        <v>260714</v>
      </c>
      <c r="D26" s="168">
        <f>'49-CK NSNN'!D40</f>
        <v>96959</v>
      </c>
      <c r="E26" s="168">
        <f>'49-CK NSNN'!E40</f>
        <v>163755</v>
      </c>
      <c r="I26" s="226"/>
      <c r="J26" s="226"/>
      <c r="K26" s="226"/>
      <c r="L26" s="226"/>
      <c r="M26" s="226"/>
      <c r="N26" s="226"/>
      <c r="O26" s="226"/>
      <c r="P26" s="226"/>
      <c r="Q26" s="226"/>
      <c r="R26" s="226"/>
      <c r="S26" s="226"/>
      <c r="T26" s="226"/>
      <c r="U26" s="226"/>
      <c r="V26" s="226"/>
      <c r="W26" s="226"/>
      <c r="X26" s="226"/>
    </row>
    <row r="27" spans="1:24" s="101" customFormat="1" ht="15.75">
      <c r="A27" s="74" t="s">
        <v>396</v>
      </c>
      <c r="B27" s="427" t="s">
        <v>98</v>
      </c>
      <c r="C27" s="168">
        <f t="shared" si="0"/>
        <v>420653</v>
      </c>
      <c r="D27" s="168">
        <f>'49-CK NSNN'!D41</f>
        <v>335292</v>
      </c>
      <c r="E27" s="168">
        <f>'49-CK NSNN'!E41</f>
        <v>85361</v>
      </c>
      <c r="I27" s="226"/>
      <c r="J27" s="226"/>
      <c r="K27" s="226"/>
      <c r="L27" s="226"/>
      <c r="M27" s="226"/>
      <c r="N27" s="226"/>
      <c r="O27" s="226"/>
      <c r="P27" s="226"/>
      <c r="Q27" s="226"/>
      <c r="R27" s="226"/>
      <c r="S27" s="226"/>
      <c r="T27" s="226"/>
      <c r="U27" s="226"/>
      <c r="V27" s="226"/>
      <c r="W27" s="226"/>
      <c r="X27" s="226"/>
    </row>
    <row r="28" spans="1:24" s="101" customFormat="1" ht="15.75">
      <c r="A28" s="74" t="s">
        <v>16</v>
      </c>
      <c r="B28" s="427" t="s">
        <v>398</v>
      </c>
      <c r="C28" s="168" t="e">
        <f t="shared" si="0"/>
        <v>#REF!</v>
      </c>
      <c r="D28" s="168" t="e">
        <f>D29+D36</f>
        <v>#REF!</v>
      </c>
      <c r="E28" s="168">
        <f>E29+E36</f>
        <v>0</v>
      </c>
      <c r="I28" s="226"/>
      <c r="J28" s="226"/>
      <c r="K28" s="226"/>
      <c r="L28" s="226"/>
      <c r="M28" s="226"/>
      <c r="N28" s="226"/>
      <c r="O28" s="226"/>
      <c r="P28" s="226"/>
      <c r="Q28" s="226"/>
      <c r="R28" s="226"/>
      <c r="S28" s="226"/>
      <c r="T28" s="226"/>
      <c r="U28" s="226"/>
      <c r="V28" s="226"/>
      <c r="W28" s="226"/>
      <c r="X28" s="226"/>
    </row>
    <row r="29" spans="1:24" s="101" customFormat="1" ht="15.75">
      <c r="A29" s="74" t="s">
        <v>83</v>
      </c>
      <c r="B29" s="427" t="s">
        <v>243</v>
      </c>
      <c r="C29" s="168">
        <f t="shared" si="0"/>
        <v>169576</v>
      </c>
      <c r="D29" s="168">
        <f>D30+D33</f>
        <v>169576</v>
      </c>
      <c r="E29" s="168">
        <f>E30+E33</f>
        <v>0</v>
      </c>
      <c r="I29" s="226"/>
      <c r="J29" s="226"/>
      <c r="K29" s="226"/>
      <c r="L29" s="226"/>
      <c r="M29" s="226"/>
      <c r="N29" s="226"/>
      <c r="O29" s="226"/>
      <c r="P29" s="226"/>
      <c r="Q29" s="226"/>
      <c r="R29" s="226"/>
      <c r="S29" s="226"/>
      <c r="T29" s="226"/>
      <c r="U29" s="226"/>
      <c r="V29" s="226"/>
      <c r="W29" s="226"/>
      <c r="X29" s="226"/>
    </row>
    <row r="30" spans="1:24" ht="30">
      <c r="A30" s="83">
        <v>1</v>
      </c>
      <c r="B30" s="60" t="s">
        <v>900</v>
      </c>
      <c r="C30" s="158">
        <f t="shared" si="0"/>
        <v>143700</v>
      </c>
      <c r="D30" s="158">
        <f>+D31+D32</f>
        <v>143700</v>
      </c>
      <c r="E30" s="158">
        <f>+E31+E32</f>
        <v>0</v>
      </c>
    </row>
    <row r="31" spans="1:24" ht="15.75">
      <c r="A31" s="83"/>
      <c r="B31" s="60" t="s">
        <v>909</v>
      </c>
      <c r="C31" s="158">
        <f t="shared" si="0"/>
        <v>103100</v>
      </c>
      <c r="D31" s="158">
        <f>'49-CK NSNN'!D45</f>
        <v>103100</v>
      </c>
      <c r="E31" s="158"/>
    </row>
    <row r="32" spans="1:24" ht="15.75">
      <c r="A32" s="83"/>
      <c r="B32" s="60" t="s">
        <v>910</v>
      </c>
      <c r="C32" s="158">
        <f t="shared" si="0"/>
        <v>40600</v>
      </c>
      <c r="D32" s="158">
        <f>'49-CK NSNN'!D46</f>
        <v>40600</v>
      </c>
      <c r="E32" s="158"/>
    </row>
    <row r="33" spans="1:24" ht="15.75">
      <c r="A33" s="83">
        <v>2</v>
      </c>
      <c r="B33" s="60" t="s">
        <v>899</v>
      </c>
      <c r="C33" s="158">
        <f t="shared" si="0"/>
        <v>25876</v>
      </c>
      <c r="D33" s="158">
        <f>+D34+D35</f>
        <v>25876</v>
      </c>
      <c r="E33" s="158">
        <f>+E34+E35</f>
        <v>0</v>
      </c>
    </row>
    <row r="34" spans="1:24" ht="15.75">
      <c r="A34" s="83"/>
      <c r="B34" s="60" t="s">
        <v>909</v>
      </c>
      <c r="C34" s="158">
        <f t="shared" si="0"/>
        <v>15146</v>
      </c>
      <c r="D34" s="158">
        <f>'49-CK NSNN'!D48</f>
        <v>15146</v>
      </c>
      <c r="E34" s="158"/>
    </row>
    <row r="35" spans="1:24" ht="15.75">
      <c r="A35" s="83"/>
      <c r="B35" s="60" t="s">
        <v>910</v>
      </c>
      <c r="C35" s="158">
        <f t="shared" si="0"/>
        <v>10730</v>
      </c>
      <c r="D35" s="158">
        <f>'49-CK NSNN'!D49</f>
        <v>10730</v>
      </c>
      <c r="E35" s="158"/>
    </row>
    <row r="36" spans="1:24" s="101" customFormat="1" ht="15.75">
      <c r="A36" s="74" t="s">
        <v>70</v>
      </c>
      <c r="B36" s="427" t="s">
        <v>581</v>
      </c>
      <c r="C36" s="168" t="e">
        <f t="shared" si="0"/>
        <v>#REF!</v>
      </c>
      <c r="D36" s="168" t="e">
        <f>+D37+D38</f>
        <v>#REF!</v>
      </c>
      <c r="E36" s="168">
        <f>+E37+E38</f>
        <v>0</v>
      </c>
      <c r="I36" s="226"/>
      <c r="J36" s="226"/>
      <c r="K36" s="226"/>
      <c r="L36" s="226"/>
      <c r="M36" s="226"/>
      <c r="N36" s="226"/>
      <c r="O36" s="226"/>
      <c r="P36" s="226"/>
      <c r="Q36" s="226"/>
      <c r="R36" s="226"/>
      <c r="S36" s="226"/>
      <c r="T36" s="226"/>
      <c r="U36" s="226"/>
      <c r="V36" s="226"/>
      <c r="W36" s="226"/>
      <c r="X36" s="226"/>
    </row>
    <row r="37" spans="1:24" ht="15.75">
      <c r="A37" s="76">
        <v>1</v>
      </c>
      <c r="B37" s="60" t="s">
        <v>340</v>
      </c>
      <c r="C37" s="158">
        <f t="shared" si="0"/>
        <v>679881</v>
      </c>
      <c r="D37" s="158">
        <f>'49-CK NSNN'!D54</f>
        <v>679881</v>
      </c>
      <c r="E37" s="158"/>
    </row>
    <row r="38" spans="1:24" ht="15.75">
      <c r="A38" s="97">
        <v>2</v>
      </c>
      <c r="B38" s="153" t="s">
        <v>96</v>
      </c>
      <c r="C38" s="158" t="e">
        <f t="shared" si="0"/>
        <v>#REF!</v>
      </c>
      <c r="D38" s="160" t="e">
        <f>SUM(D39:D46)</f>
        <v>#REF!</v>
      </c>
      <c r="E38" s="160"/>
    </row>
    <row r="39" spans="1:24" ht="15.75">
      <c r="A39" s="97"/>
      <c r="B39" s="153" t="s">
        <v>901</v>
      </c>
      <c r="C39" s="158" t="e">
        <f t="shared" si="0"/>
        <v>#REF!</v>
      </c>
      <c r="D39" s="160" t="e">
        <f>'49-CK NSNN'!#REF!</f>
        <v>#REF!</v>
      </c>
      <c r="E39" s="160"/>
    </row>
    <row r="40" spans="1:24" ht="15.75">
      <c r="A40" s="88"/>
      <c r="B40" s="448" t="s">
        <v>902</v>
      </c>
      <c r="C40" s="449" t="e">
        <f t="shared" si="0"/>
        <v>#REF!</v>
      </c>
      <c r="D40" s="449" t="e">
        <f>'49-CK NSNN'!#REF!</f>
        <v>#REF!</v>
      </c>
      <c r="E40" s="449"/>
    </row>
    <row r="41" spans="1:24" ht="15.75">
      <c r="A41" s="97"/>
      <c r="B41" s="153" t="s">
        <v>903</v>
      </c>
      <c r="C41" s="158" t="e">
        <f t="shared" si="0"/>
        <v>#REF!</v>
      </c>
      <c r="D41" s="160" t="e">
        <f>'49-CK NSNN'!#REF!</f>
        <v>#REF!</v>
      </c>
      <c r="E41" s="160"/>
    </row>
    <row r="42" spans="1:24" ht="15.75">
      <c r="A42" s="97"/>
      <c r="B42" s="153" t="s">
        <v>904</v>
      </c>
      <c r="C42" s="158" t="e">
        <f t="shared" si="0"/>
        <v>#REF!</v>
      </c>
      <c r="D42" s="160" t="e">
        <f>'49-CK NSNN'!#REF!</f>
        <v>#REF!</v>
      </c>
      <c r="E42" s="160"/>
    </row>
    <row r="43" spans="1:24" ht="45">
      <c r="A43" s="97"/>
      <c r="B43" s="153" t="s">
        <v>1179</v>
      </c>
      <c r="C43" s="158" t="e">
        <f t="shared" si="0"/>
        <v>#REF!</v>
      </c>
      <c r="D43" s="160" t="e">
        <f>'49-CK NSNN'!#REF!</f>
        <v>#REF!</v>
      </c>
      <c r="E43" s="160"/>
    </row>
    <row r="44" spans="1:24" ht="30">
      <c r="A44" s="97"/>
      <c r="B44" s="338" t="s">
        <v>1168</v>
      </c>
      <c r="C44" s="158" t="e">
        <f t="shared" si="0"/>
        <v>#REF!</v>
      </c>
      <c r="D44" s="160" t="e">
        <f>'49-CK NSNN'!#REF!</f>
        <v>#REF!</v>
      </c>
      <c r="E44" s="160"/>
    </row>
    <row r="45" spans="1:24" ht="45">
      <c r="A45" s="97"/>
      <c r="B45" s="338" t="s">
        <v>1169</v>
      </c>
      <c r="C45" s="158" t="e">
        <f t="shared" si="0"/>
        <v>#REF!</v>
      </c>
      <c r="D45" s="160" t="e">
        <f>'49-CK NSNN'!#REF!</f>
        <v>#REF!</v>
      </c>
      <c r="E45" s="160"/>
    </row>
    <row r="46" spans="1:24" ht="15.75">
      <c r="A46" s="97"/>
      <c r="B46" s="338" t="s">
        <v>1170</v>
      </c>
      <c r="C46" s="158" t="e">
        <f t="shared" si="0"/>
        <v>#REF!</v>
      </c>
      <c r="D46" s="160" t="e">
        <f>'49-CK NSNN'!#REF!</f>
        <v>#REF!</v>
      </c>
      <c r="E46" s="160"/>
    </row>
    <row r="47" spans="1:24" ht="15.75">
      <c r="A47" s="97"/>
      <c r="B47" s="338" t="s">
        <v>1171</v>
      </c>
      <c r="C47" s="158" t="e">
        <f t="shared" si="0"/>
        <v>#REF!</v>
      </c>
      <c r="D47" s="160" t="e">
        <f>'49-CK NSNN'!#REF!</f>
        <v>#REF!</v>
      </c>
      <c r="E47" s="160"/>
    </row>
    <row r="48" spans="1:24" ht="15.75">
      <c r="A48" s="97"/>
      <c r="B48" s="338" t="s">
        <v>1172</v>
      </c>
      <c r="C48" s="158" t="e">
        <f t="shared" si="0"/>
        <v>#REF!</v>
      </c>
      <c r="D48" s="160" t="e">
        <f>'49-CK NSNN'!#REF!</f>
        <v>#REF!</v>
      </c>
      <c r="E48" s="160"/>
    </row>
    <row r="49" spans="1:24" ht="15.75">
      <c r="A49" s="97"/>
      <c r="B49" s="338" t="s">
        <v>1173</v>
      </c>
      <c r="C49" s="158" t="e">
        <f t="shared" si="0"/>
        <v>#REF!</v>
      </c>
      <c r="D49" s="160" t="e">
        <f>'49-CK NSNN'!#REF!</f>
        <v>#REF!</v>
      </c>
      <c r="E49" s="160"/>
    </row>
    <row r="50" spans="1:24" ht="15.75">
      <c r="A50" s="97"/>
      <c r="B50" s="338" t="s">
        <v>1174</v>
      </c>
      <c r="C50" s="158" t="e">
        <f t="shared" si="0"/>
        <v>#REF!</v>
      </c>
      <c r="D50" s="160" t="e">
        <f>'49-CK NSNN'!#REF!</f>
        <v>#REF!</v>
      </c>
      <c r="E50" s="160"/>
    </row>
    <row r="51" spans="1:24" ht="30">
      <c r="A51" s="97"/>
      <c r="B51" s="338" t="s">
        <v>1175</v>
      </c>
      <c r="C51" s="158" t="e">
        <f t="shared" si="0"/>
        <v>#REF!</v>
      </c>
      <c r="D51" s="160" t="e">
        <f>'49-CK NSNN'!#REF!</f>
        <v>#REF!</v>
      </c>
      <c r="E51" s="160"/>
    </row>
    <row r="52" spans="1:24" ht="15.75">
      <c r="A52" s="97"/>
      <c r="B52" s="338" t="s">
        <v>1176</v>
      </c>
      <c r="C52" s="158" t="e">
        <f t="shared" si="0"/>
        <v>#REF!</v>
      </c>
      <c r="D52" s="160" t="e">
        <f>'49-CK NSNN'!#REF!</f>
        <v>#REF!</v>
      </c>
      <c r="E52" s="160"/>
    </row>
    <row r="53" spans="1:24" ht="30">
      <c r="A53" s="97"/>
      <c r="B53" s="338" t="s">
        <v>1177</v>
      </c>
      <c r="C53" s="158" t="e">
        <f t="shared" si="0"/>
        <v>#REF!</v>
      </c>
      <c r="D53" s="160" t="e">
        <f>'49-CK NSNN'!#REF!</f>
        <v>#REF!</v>
      </c>
      <c r="E53" s="160"/>
    </row>
    <row r="54" spans="1:24" ht="15.75">
      <c r="A54" s="97"/>
      <c r="B54" s="98"/>
      <c r="C54" s="158">
        <f t="shared" si="0"/>
        <v>0</v>
      </c>
      <c r="D54" s="160">
        <f>'49-CK NSNN'!D56</f>
        <v>0</v>
      </c>
      <c r="E54" s="160"/>
    </row>
    <row r="55" spans="1:24" ht="15.75">
      <c r="A55" s="79" t="s">
        <v>79</v>
      </c>
      <c r="B55" s="80" t="s">
        <v>430</v>
      </c>
      <c r="C55" s="159">
        <f t="shared" si="0"/>
        <v>0</v>
      </c>
      <c r="D55" s="159"/>
      <c r="E55" s="159"/>
    </row>
    <row r="56" spans="1:24" ht="15.75">
      <c r="A56" s="28" t="s">
        <v>573</v>
      </c>
    </row>
    <row r="57" spans="1:24" s="39" customFormat="1" ht="72.75" customHeight="1">
      <c r="A57" s="779" t="s">
        <v>119</v>
      </c>
      <c r="B57" s="779"/>
      <c r="C57" s="779"/>
      <c r="D57" s="779"/>
      <c r="E57" s="779"/>
      <c r="I57" s="196"/>
      <c r="J57" s="196"/>
      <c r="K57" s="196"/>
      <c r="L57" s="196"/>
      <c r="M57" s="196"/>
      <c r="N57" s="196"/>
      <c r="O57" s="196"/>
      <c r="P57" s="196"/>
      <c r="Q57" s="196"/>
      <c r="R57" s="196"/>
      <c r="S57" s="196"/>
      <c r="T57" s="196"/>
      <c r="U57" s="196"/>
      <c r="V57" s="196"/>
      <c r="W57" s="196"/>
      <c r="X57" s="196"/>
    </row>
    <row r="58" spans="1:24" ht="45" customHeight="1">
      <c r="A58" s="779" t="s">
        <v>517</v>
      </c>
      <c r="B58" s="779"/>
      <c r="C58" s="779"/>
      <c r="D58" s="779"/>
      <c r="E58" s="779"/>
    </row>
  </sheetData>
  <customSheetViews>
    <customSheetView guid="{9F606621-8853-4836-9A7E-DBA5CF152671}" scale="75" showPageBreaks="1">
      <pane xSplit="2" ySplit="7" topLeftCell="D11" activePane="bottomRight" state="frozen"/>
      <selection pane="bottomRight" activeCell="G5" sqref="G5"/>
      <pageMargins left="0.7" right="0.7" top="0.75" bottom="0.75" header="0.3" footer="0.3"/>
      <pageSetup orientation="portrait" r:id="rId1"/>
    </customSheetView>
    <customSheetView guid="{DB9039ED-C6EA-422D-9A5D-D152D95EDC67}" scale="70" showPageBreaks="1" zeroValues="0" printArea="1" hiddenRows="1" topLeftCell="A14">
      <selection activeCell="F18" sqref="F18"/>
      <pageMargins left="0.70866141732283472" right="0.70866141732283472" top="0.74803149606299213" bottom="0.74803149606299213" header="0.31496062992125984" footer="0.31496062992125984"/>
      <printOptions horizontalCentered="1"/>
      <pageSetup paperSize="9" scale="90" orientation="portrait" r:id="rId2"/>
    </customSheetView>
  </customSheetViews>
  <mergeCells count="8">
    <mergeCell ref="A2:E2"/>
    <mergeCell ref="A3:E3"/>
    <mergeCell ref="A57:E57"/>
    <mergeCell ref="A58:E58"/>
    <mergeCell ref="A5:A6"/>
    <mergeCell ref="B5:B6"/>
    <mergeCell ref="C5:C6"/>
    <mergeCell ref="D5:E5"/>
  </mergeCell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sheetPr>
    <tabColor theme="5"/>
  </sheetPr>
  <dimension ref="A1:C29"/>
  <sheetViews>
    <sheetView showZeros="0" workbookViewId="0">
      <selection activeCell="B8" sqref="B8"/>
    </sheetView>
  </sheetViews>
  <sheetFormatPr defaultRowHeight="15"/>
  <cols>
    <col min="1" max="1" width="5.42578125" customWidth="1"/>
    <col min="2" max="2" width="68.85546875" customWidth="1"/>
    <col min="3" max="3" width="16.140625" customWidth="1"/>
  </cols>
  <sheetData>
    <row r="1" spans="1:3" ht="15.75">
      <c r="A1" s="794" t="s">
        <v>1521</v>
      </c>
      <c r="B1" s="794"/>
      <c r="C1" s="794"/>
    </row>
    <row r="2" spans="1:3" ht="15.75">
      <c r="A2" s="794" t="s">
        <v>1516</v>
      </c>
      <c r="B2" s="794"/>
      <c r="C2" s="26"/>
    </row>
    <row r="3" spans="1:3" ht="39.75" customHeight="1">
      <c r="A3" s="789" t="s">
        <v>850</v>
      </c>
      <c r="B3" s="789"/>
      <c r="C3" s="789"/>
    </row>
    <row r="4" spans="1:3" ht="15.75">
      <c r="C4" s="27" t="s">
        <v>56</v>
      </c>
    </row>
    <row r="5" spans="1:3" ht="33" customHeight="1">
      <c r="A5" s="30" t="s">
        <v>3</v>
      </c>
      <c r="B5" s="30" t="s">
        <v>4</v>
      </c>
      <c r="C5" s="30" t="s">
        <v>582</v>
      </c>
    </row>
    <row r="6" spans="1:3" ht="15.75">
      <c r="A6" s="30" t="s">
        <v>15</v>
      </c>
      <c r="B6" s="30" t="s">
        <v>16</v>
      </c>
      <c r="C6" s="30">
        <v>1</v>
      </c>
    </row>
    <row r="7" spans="1:3" s="101" customFormat="1" ht="15.75">
      <c r="A7" s="84"/>
      <c r="B7" s="85" t="s">
        <v>90</v>
      </c>
      <c r="C7" s="167">
        <v>8330842.7999999998</v>
      </c>
    </row>
    <row r="8" spans="1:3" s="101" customFormat="1" ht="24.75" customHeight="1">
      <c r="A8" s="86" t="s">
        <v>15</v>
      </c>
      <c r="B8" s="87" t="s">
        <v>1520</v>
      </c>
      <c r="C8" s="168">
        <v>3059281</v>
      </c>
    </row>
    <row r="9" spans="1:3" s="101" customFormat="1" ht="27" customHeight="1">
      <c r="A9" s="86" t="s">
        <v>16</v>
      </c>
      <c r="B9" s="87" t="s">
        <v>836</v>
      </c>
      <c r="C9" s="168">
        <v>5271561.8</v>
      </c>
    </row>
    <row r="10" spans="1:3" s="101" customFormat="1" ht="15.75">
      <c r="A10" s="86" t="s">
        <v>83</v>
      </c>
      <c r="B10" s="87" t="s">
        <v>504</v>
      </c>
      <c r="C10" s="168">
        <v>2188302</v>
      </c>
    </row>
    <row r="11" spans="1:3" ht="15.75">
      <c r="A11" s="100">
        <v>1</v>
      </c>
      <c r="B11" s="99" t="s">
        <v>387</v>
      </c>
      <c r="C11" s="158">
        <v>2188302</v>
      </c>
    </row>
    <row r="12" spans="1:3" ht="31.5">
      <c r="A12" s="100">
        <v>2</v>
      </c>
      <c r="B12" s="99" t="s">
        <v>583</v>
      </c>
      <c r="C12" s="158">
        <v>0</v>
      </c>
    </row>
    <row r="13" spans="1:3" ht="15.75">
      <c r="A13" s="100">
        <v>3</v>
      </c>
      <c r="B13" s="99" t="s">
        <v>395</v>
      </c>
      <c r="C13" s="158">
        <v>0</v>
      </c>
    </row>
    <row r="14" spans="1:3" ht="15.75">
      <c r="A14" s="86" t="s">
        <v>70</v>
      </c>
      <c r="B14" s="87" t="s">
        <v>1727</v>
      </c>
      <c r="C14" s="168">
        <v>2627124.7999999998</v>
      </c>
    </row>
    <row r="15" spans="1:3" ht="15.75">
      <c r="A15" s="88" t="s">
        <v>22</v>
      </c>
      <c r="B15" s="99" t="s">
        <v>389</v>
      </c>
      <c r="C15" s="158">
        <v>694763</v>
      </c>
    </row>
    <row r="16" spans="1:3" ht="15.75">
      <c r="A16" s="88" t="s">
        <v>22</v>
      </c>
      <c r="B16" s="99" t="s">
        <v>580</v>
      </c>
      <c r="C16" s="158">
        <v>27586</v>
      </c>
    </row>
    <row r="17" spans="1:3" ht="15.75">
      <c r="A17" s="88" t="s">
        <v>22</v>
      </c>
      <c r="B17" s="99" t="s">
        <v>507</v>
      </c>
      <c r="C17" s="158">
        <v>636824</v>
      </c>
    </row>
    <row r="18" spans="1:3" ht="15.75">
      <c r="A18" s="88" t="s">
        <v>22</v>
      </c>
      <c r="B18" s="99" t="s">
        <v>508</v>
      </c>
      <c r="C18" s="158">
        <v>26589</v>
      </c>
    </row>
    <row r="19" spans="1:3" ht="15.75">
      <c r="A19" s="88" t="s">
        <v>22</v>
      </c>
      <c r="B19" s="99" t="s">
        <v>509</v>
      </c>
      <c r="C19" s="158">
        <v>15636</v>
      </c>
    </row>
    <row r="20" spans="1:3" ht="15.75">
      <c r="A20" s="88" t="s">
        <v>22</v>
      </c>
      <c r="B20" s="99" t="s">
        <v>510</v>
      </c>
      <c r="C20" s="158">
        <v>14070</v>
      </c>
    </row>
    <row r="21" spans="1:3" ht="15.75">
      <c r="A21" s="88" t="s">
        <v>22</v>
      </c>
      <c r="B21" s="99" t="s">
        <v>511</v>
      </c>
      <c r="C21" s="158">
        <v>78422</v>
      </c>
    </row>
    <row r="22" spans="1:3" ht="15.75">
      <c r="A22" s="88" t="s">
        <v>22</v>
      </c>
      <c r="B22" s="99" t="s">
        <v>512</v>
      </c>
      <c r="C22" s="158">
        <v>619273</v>
      </c>
    </row>
    <row r="23" spans="1:3" ht="15.75">
      <c r="A23" s="88" t="s">
        <v>22</v>
      </c>
      <c r="B23" s="99" t="s">
        <v>513</v>
      </c>
      <c r="C23" s="158">
        <v>387068</v>
      </c>
    </row>
    <row r="24" spans="1:3" ht="15.75">
      <c r="A24" s="88" t="s">
        <v>22</v>
      </c>
      <c r="B24" s="99" t="s">
        <v>514</v>
      </c>
      <c r="C24" s="158">
        <v>47717</v>
      </c>
    </row>
    <row r="25" spans="1:3" s="101" customFormat="1" ht="15.75">
      <c r="A25" s="86" t="s">
        <v>73</v>
      </c>
      <c r="B25" s="87" t="s">
        <v>1328</v>
      </c>
      <c r="C25" s="168">
        <v>22624</v>
      </c>
    </row>
    <row r="26" spans="1:3" s="101" customFormat="1" ht="15.75">
      <c r="A26" s="86" t="s">
        <v>77</v>
      </c>
      <c r="B26" s="87" t="s">
        <v>1301</v>
      </c>
      <c r="C26" s="168">
        <v>1260</v>
      </c>
    </row>
    <row r="27" spans="1:3" s="101" customFormat="1" ht="15.75">
      <c r="A27" s="86" t="s">
        <v>113</v>
      </c>
      <c r="B27" s="87" t="s">
        <v>241</v>
      </c>
      <c r="C27" s="168">
        <v>96959</v>
      </c>
    </row>
    <row r="28" spans="1:3" s="101" customFormat="1" ht="15.75">
      <c r="A28" s="86" t="s">
        <v>396</v>
      </c>
      <c r="B28" s="87" t="s">
        <v>98</v>
      </c>
      <c r="C28" s="168">
        <v>335292</v>
      </c>
    </row>
    <row r="29" spans="1:3" ht="15.75">
      <c r="A29" s="89" t="s">
        <v>79</v>
      </c>
      <c r="B29" s="90" t="s">
        <v>430</v>
      </c>
      <c r="C29" s="159"/>
    </row>
  </sheetData>
  <customSheetViews>
    <customSheetView guid="{9F606621-8853-4836-9A7E-DBA5CF152671}" showPageBreaks="1">
      <selection activeCell="D4" sqref="D4"/>
      <pageMargins left="0.7" right="0.7" top="0.75" bottom="0.75" header="0.3" footer="0.3"/>
      <pageSetup paperSize="9" orientation="portrait" r:id="rId1"/>
    </customSheetView>
    <customSheetView guid="{DB9039ED-C6EA-422D-9A5D-D152D95EDC67}" showPageBreaks="1" printArea="1" hiddenRows="1" topLeftCell="A10">
      <selection activeCell="C17" sqref="C17"/>
      <pageMargins left="1.1023622047244095" right="0.70866141732283472" top="0.74803149606299213" bottom="0.74803149606299213" header="0.31496062992125984" footer="0.31496062992125984"/>
      <printOptions horizontalCentered="1"/>
      <pageSetup paperSize="9" orientation="portrait" r:id="rId2"/>
    </customSheetView>
  </customSheetViews>
  <mergeCells count="3">
    <mergeCell ref="A2:B2"/>
    <mergeCell ref="A1:C1"/>
    <mergeCell ref="A3:C3"/>
  </mergeCells>
  <printOptions horizontalCentered="1"/>
  <pageMargins left="0.17" right="0.17" top="0.57999999999999996" bottom="0.75" header="0.3" footer="0.3"/>
  <pageSetup paperSize="9" orientation="portrait" r:id="rId3"/>
</worksheet>
</file>

<file path=xl/worksheets/sheet35.xml><?xml version="1.0" encoding="utf-8"?>
<worksheet xmlns="http://schemas.openxmlformats.org/spreadsheetml/2006/main" xmlns:r="http://schemas.openxmlformats.org/officeDocument/2006/relationships">
  <sheetPr>
    <tabColor theme="4"/>
  </sheetPr>
  <dimension ref="A1:M264"/>
  <sheetViews>
    <sheetView showZeros="0" workbookViewId="0">
      <selection activeCell="D16" sqref="D16"/>
    </sheetView>
  </sheetViews>
  <sheetFormatPr defaultRowHeight="15"/>
  <cols>
    <col min="1" max="1" width="6.42578125" customWidth="1"/>
    <col min="2" max="2" width="51.7109375" customWidth="1"/>
    <col min="3" max="13" width="10.5703125" customWidth="1"/>
  </cols>
  <sheetData>
    <row r="1" spans="1:13" ht="15.75">
      <c r="A1" s="794" t="s">
        <v>1519</v>
      </c>
      <c r="B1" s="794"/>
      <c r="M1" s="26" t="s">
        <v>1529</v>
      </c>
    </row>
    <row r="2" spans="1:13" ht="15.75">
      <c r="A2" s="794" t="s">
        <v>1522</v>
      </c>
      <c r="B2" s="794"/>
      <c r="M2" s="26"/>
    </row>
    <row r="3" spans="1:13" ht="18.75">
      <c r="A3" s="775" t="s">
        <v>851</v>
      </c>
      <c r="B3" s="775"/>
      <c r="C3" s="775"/>
      <c r="D3" s="775"/>
      <c r="E3" s="775"/>
      <c r="F3" s="775"/>
      <c r="G3" s="775"/>
      <c r="H3" s="775"/>
      <c r="I3" s="775"/>
      <c r="J3" s="775"/>
      <c r="K3" s="775"/>
      <c r="L3" s="775"/>
      <c r="M3" s="775"/>
    </row>
    <row r="4" spans="1:13">
      <c r="A4" s="795" t="s">
        <v>1505</v>
      </c>
      <c r="B4" s="796"/>
      <c r="C4" s="796"/>
      <c r="D4" s="796"/>
      <c r="E4" s="796"/>
      <c r="F4" s="796"/>
      <c r="G4" s="796"/>
      <c r="H4" s="796"/>
      <c r="I4" s="796"/>
      <c r="J4" s="796"/>
      <c r="K4" s="796"/>
      <c r="L4" s="796"/>
      <c r="M4" s="796"/>
    </row>
    <row r="5" spans="1:13" ht="15.75">
      <c r="M5" s="27" t="s">
        <v>56</v>
      </c>
    </row>
    <row r="6" spans="1:13" ht="25.5" customHeight="1">
      <c r="A6" s="773" t="s">
        <v>3</v>
      </c>
      <c r="B6" s="773" t="s">
        <v>161</v>
      </c>
      <c r="C6" s="773" t="s">
        <v>130</v>
      </c>
      <c r="D6" s="773" t="s">
        <v>585</v>
      </c>
      <c r="E6" s="773" t="s">
        <v>586</v>
      </c>
      <c r="F6" s="773" t="s">
        <v>520</v>
      </c>
      <c r="G6" s="773" t="s">
        <v>521</v>
      </c>
      <c r="H6" s="773" t="s">
        <v>587</v>
      </c>
      <c r="I6" s="773" t="s">
        <v>98</v>
      </c>
      <c r="J6" s="773" t="s">
        <v>522</v>
      </c>
      <c r="K6" s="773"/>
      <c r="L6" s="773"/>
      <c r="M6" s="773" t="s">
        <v>523</v>
      </c>
    </row>
    <row r="7" spans="1:13" ht="93" customHeight="1">
      <c r="A7" s="773"/>
      <c r="B7" s="773"/>
      <c r="C7" s="773"/>
      <c r="D7" s="773"/>
      <c r="E7" s="773"/>
      <c r="F7" s="773"/>
      <c r="G7" s="773"/>
      <c r="H7" s="773"/>
      <c r="I7" s="773"/>
      <c r="J7" s="30" t="s">
        <v>130</v>
      </c>
      <c r="K7" s="30" t="s">
        <v>340</v>
      </c>
      <c r="L7" s="30" t="s">
        <v>96</v>
      </c>
      <c r="M7" s="773"/>
    </row>
    <row r="8" spans="1:13" ht="15.75">
      <c r="A8" s="30" t="s">
        <v>15</v>
      </c>
      <c r="B8" s="30" t="s">
        <v>16</v>
      </c>
      <c r="C8" s="30">
        <v>1</v>
      </c>
      <c r="D8" s="30">
        <v>2</v>
      </c>
      <c r="E8" s="30">
        <v>3</v>
      </c>
      <c r="F8" s="30">
        <v>4</v>
      </c>
      <c r="G8" s="30">
        <v>5</v>
      </c>
      <c r="H8" s="30">
        <v>6</v>
      </c>
      <c r="I8" s="30">
        <v>7</v>
      </c>
      <c r="J8" s="30">
        <v>8</v>
      </c>
      <c r="K8" s="30">
        <v>9</v>
      </c>
      <c r="L8" s="30">
        <v>10</v>
      </c>
      <c r="M8" s="30">
        <v>11</v>
      </c>
    </row>
    <row r="9" spans="1:13" ht="15.75">
      <c r="A9" s="71"/>
      <c r="B9" s="72" t="s">
        <v>133</v>
      </c>
      <c r="C9" s="167">
        <v>5814844</v>
      </c>
      <c r="D9" s="167">
        <v>2188302</v>
      </c>
      <c r="E9" s="167">
        <v>3170407</v>
      </c>
      <c r="F9" s="167">
        <v>22624</v>
      </c>
      <c r="G9" s="167">
        <v>1260</v>
      </c>
      <c r="H9" s="167">
        <v>96959</v>
      </c>
      <c r="I9" s="167">
        <v>335292</v>
      </c>
      <c r="J9" s="167">
        <v>0</v>
      </c>
      <c r="K9" s="167">
        <v>0</v>
      </c>
      <c r="L9" s="167">
        <v>0</v>
      </c>
      <c r="M9" s="167">
        <v>0</v>
      </c>
    </row>
    <row r="10" spans="1:13" ht="15.75">
      <c r="A10" s="74" t="s">
        <v>83</v>
      </c>
      <c r="B10" s="75" t="s">
        <v>524</v>
      </c>
      <c r="C10" s="168">
        <v>3170407</v>
      </c>
      <c r="D10" s="168">
        <v>0</v>
      </c>
      <c r="E10" s="168">
        <v>3170407</v>
      </c>
      <c r="F10" s="168">
        <v>0</v>
      </c>
      <c r="G10" s="168">
        <v>0</v>
      </c>
      <c r="H10" s="168">
        <v>0</v>
      </c>
      <c r="I10" s="168">
        <v>0</v>
      </c>
      <c r="J10" s="168">
        <v>0</v>
      </c>
      <c r="K10" s="168">
        <v>0</v>
      </c>
      <c r="L10" s="168">
        <v>0</v>
      </c>
      <c r="M10" s="168">
        <v>0</v>
      </c>
    </row>
    <row r="11" spans="1:13" ht="15.75">
      <c r="A11" s="74" t="s">
        <v>1044</v>
      </c>
      <c r="B11" s="222" t="e">
        <f>'53-CK NSNN'!#REF!</f>
        <v>#REF!</v>
      </c>
      <c r="C11" s="168">
        <v>1776245</v>
      </c>
      <c r="D11" s="168">
        <v>0</v>
      </c>
      <c r="E11" s="168">
        <v>1776245</v>
      </c>
      <c r="F11" s="168">
        <v>0</v>
      </c>
      <c r="G11" s="168">
        <v>0</v>
      </c>
      <c r="H11" s="168">
        <v>0</v>
      </c>
      <c r="I11" s="168">
        <v>0</v>
      </c>
      <c r="J11" s="168">
        <v>0</v>
      </c>
      <c r="K11" s="168">
        <v>0</v>
      </c>
      <c r="L11" s="168">
        <v>0</v>
      </c>
      <c r="M11" s="168">
        <v>0</v>
      </c>
    </row>
    <row r="12" spans="1:13" s="157" customFormat="1" ht="14.25">
      <c r="A12" s="599"/>
      <c r="B12" s="600" t="s">
        <v>1367</v>
      </c>
      <c r="C12" s="501">
        <v>1397313</v>
      </c>
      <c r="D12" s="501">
        <v>0</v>
      </c>
      <c r="E12" s="501">
        <v>1397313</v>
      </c>
      <c r="F12" s="501"/>
      <c r="G12" s="501"/>
      <c r="H12" s="501"/>
      <c r="I12" s="501"/>
      <c r="J12" s="501"/>
      <c r="K12" s="501"/>
      <c r="L12" s="501"/>
      <c r="M12" s="501"/>
    </row>
    <row r="13" spans="1:13" s="51" customFormat="1" ht="15.75">
      <c r="A13" s="503" t="s">
        <v>15</v>
      </c>
      <c r="B13" s="504" t="s">
        <v>1577</v>
      </c>
      <c r="C13" s="505">
        <v>270492</v>
      </c>
      <c r="D13" s="505">
        <v>0</v>
      </c>
      <c r="E13" s="505">
        <v>270492</v>
      </c>
      <c r="F13" s="505"/>
      <c r="G13" s="505"/>
      <c r="H13" s="505"/>
      <c r="I13" s="505"/>
      <c r="J13" s="505"/>
      <c r="K13" s="505"/>
      <c r="L13" s="505"/>
      <c r="M13" s="505"/>
    </row>
    <row r="14" spans="1:13" s="51" customFormat="1" ht="15.75">
      <c r="A14" s="506" t="s">
        <v>83</v>
      </c>
      <c r="B14" s="601" t="s">
        <v>1578</v>
      </c>
      <c r="C14" s="505">
        <v>221488</v>
      </c>
      <c r="D14" s="505">
        <v>0</v>
      </c>
      <c r="E14" s="505">
        <v>221488</v>
      </c>
      <c r="F14" s="505"/>
      <c r="G14" s="505"/>
      <c r="H14" s="505"/>
      <c r="I14" s="505"/>
      <c r="J14" s="505"/>
      <c r="K14" s="505"/>
      <c r="L14" s="505"/>
      <c r="M14" s="505"/>
    </row>
    <row r="15" spans="1:13" s="51" customFormat="1" ht="15.75">
      <c r="A15" s="508">
        <v>1</v>
      </c>
      <c r="B15" s="509" t="s">
        <v>999</v>
      </c>
      <c r="C15" s="509">
        <v>9662</v>
      </c>
      <c r="D15" s="512">
        <v>0</v>
      </c>
      <c r="E15" s="509">
        <v>9662</v>
      </c>
      <c r="F15" s="509"/>
      <c r="G15" s="509"/>
      <c r="H15" s="509"/>
      <c r="I15" s="509"/>
      <c r="J15" s="509"/>
      <c r="K15" s="509"/>
      <c r="L15" s="509"/>
      <c r="M15" s="509"/>
    </row>
    <row r="16" spans="1:13" s="51" customFormat="1" ht="15.75">
      <c r="A16" s="508">
        <v>2</v>
      </c>
      <c r="B16" s="509" t="s">
        <v>1579</v>
      </c>
      <c r="C16" s="509">
        <v>13652</v>
      </c>
      <c r="D16" s="512">
        <v>0</v>
      </c>
      <c r="E16" s="509">
        <v>13652</v>
      </c>
      <c r="F16" s="509"/>
      <c r="G16" s="509"/>
      <c r="H16" s="509"/>
      <c r="I16" s="509"/>
      <c r="J16" s="509"/>
      <c r="K16" s="509"/>
      <c r="L16" s="509"/>
      <c r="M16" s="509"/>
    </row>
    <row r="17" spans="1:13" s="51" customFormat="1" ht="15.75">
      <c r="A17" s="508">
        <v>3</v>
      </c>
      <c r="B17" s="509" t="s">
        <v>1580</v>
      </c>
      <c r="C17" s="512">
        <v>24820</v>
      </c>
      <c r="D17" s="512">
        <v>0</v>
      </c>
      <c r="E17" s="512">
        <v>24820</v>
      </c>
      <c r="F17" s="512"/>
      <c r="G17" s="512"/>
      <c r="H17" s="512"/>
      <c r="I17" s="512"/>
      <c r="J17" s="512"/>
      <c r="K17" s="512"/>
      <c r="L17" s="512"/>
      <c r="M17" s="512"/>
    </row>
    <row r="18" spans="1:13" s="51" customFormat="1" ht="15.75">
      <c r="A18" s="508"/>
      <c r="B18" s="509" t="s">
        <v>1581</v>
      </c>
      <c r="C18" s="509">
        <v>5396</v>
      </c>
      <c r="D18" s="512">
        <v>0</v>
      </c>
      <c r="E18" s="509">
        <v>5396</v>
      </c>
      <c r="F18" s="509"/>
      <c r="G18" s="509"/>
      <c r="H18" s="509"/>
      <c r="I18" s="509"/>
      <c r="J18" s="509"/>
      <c r="K18" s="509"/>
      <c r="L18" s="509"/>
      <c r="M18" s="509"/>
    </row>
    <row r="19" spans="1:13" s="51" customFormat="1" ht="15.75">
      <c r="A19" s="508"/>
      <c r="B19" s="509" t="s">
        <v>1582</v>
      </c>
      <c r="C19" s="509">
        <v>8334</v>
      </c>
      <c r="D19" s="512">
        <v>0</v>
      </c>
      <c r="E19" s="509">
        <v>8334</v>
      </c>
      <c r="F19" s="509"/>
      <c r="G19" s="509"/>
      <c r="H19" s="509"/>
      <c r="I19" s="509"/>
      <c r="J19" s="509"/>
      <c r="K19" s="509"/>
      <c r="L19" s="509"/>
      <c r="M19" s="509"/>
    </row>
    <row r="20" spans="1:13" s="51" customFormat="1" ht="15.75">
      <c r="A20" s="508"/>
      <c r="B20" s="509" t="s">
        <v>1583</v>
      </c>
      <c r="C20" s="509">
        <v>1984</v>
      </c>
      <c r="D20" s="512">
        <v>0</v>
      </c>
      <c r="E20" s="509">
        <v>1984</v>
      </c>
      <c r="F20" s="509"/>
      <c r="G20" s="509"/>
      <c r="H20" s="509"/>
      <c r="I20" s="509"/>
      <c r="J20" s="509"/>
      <c r="K20" s="509"/>
      <c r="L20" s="509"/>
      <c r="M20" s="509"/>
    </row>
    <row r="21" spans="1:13" s="51" customFormat="1" ht="15.75">
      <c r="A21" s="508"/>
      <c r="B21" s="509" t="s">
        <v>1584</v>
      </c>
      <c r="C21" s="509">
        <v>2087</v>
      </c>
      <c r="D21" s="512">
        <v>0</v>
      </c>
      <c r="E21" s="509">
        <v>2087</v>
      </c>
      <c r="F21" s="509"/>
      <c r="G21" s="509"/>
      <c r="H21" s="509"/>
      <c r="I21" s="509"/>
      <c r="J21" s="509"/>
      <c r="K21" s="509"/>
      <c r="L21" s="509"/>
      <c r="M21" s="509"/>
    </row>
    <row r="22" spans="1:13" s="51" customFormat="1" ht="15.75">
      <c r="A22" s="508"/>
      <c r="B22" s="509" t="s">
        <v>1585</v>
      </c>
      <c r="C22" s="509">
        <v>2118</v>
      </c>
      <c r="D22" s="512">
        <v>0</v>
      </c>
      <c r="E22" s="509">
        <v>2118</v>
      </c>
      <c r="F22" s="509"/>
      <c r="G22" s="509"/>
      <c r="H22" s="509"/>
      <c r="I22" s="509"/>
      <c r="J22" s="509"/>
      <c r="K22" s="509"/>
      <c r="L22" s="509"/>
      <c r="M22" s="509"/>
    </row>
    <row r="23" spans="1:13" s="51" customFormat="1" ht="15.75">
      <c r="A23" s="508"/>
      <c r="B23" s="509" t="s">
        <v>1586</v>
      </c>
      <c r="C23" s="509">
        <v>2292</v>
      </c>
      <c r="D23" s="512">
        <v>0</v>
      </c>
      <c r="E23" s="509">
        <v>2292</v>
      </c>
      <c r="F23" s="509"/>
      <c r="G23" s="509"/>
      <c r="H23" s="509"/>
      <c r="I23" s="509"/>
      <c r="J23" s="509"/>
      <c r="K23" s="509"/>
      <c r="L23" s="509"/>
      <c r="M23" s="509"/>
    </row>
    <row r="24" spans="1:13" s="51" customFormat="1" ht="15.75">
      <c r="A24" s="508"/>
      <c r="B24" s="509" t="s">
        <v>1587</v>
      </c>
      <c r="C24" s="509">
        <v>2609</v>
      </c>
      <c r="D24" s="512">
        <v>0</v>
      </c>
      <c r="E24" s="509">
        <v>2609</v>
      </c>
      <c r="F24" s="509"/>
      <c r="G24" s="509"/>
      <c r="H24" s="509"/>
      <c r="I24" s="509"/>
      <c r="J24" s="509"/>
      <c r="K24" s="509"/>
      <c r="L24" s="509"/>
      <c r="M24" s="509"/>
    </row>
    <row r="25" spans="1:13" s="51" customFormat="1" ht="15.75">
      <c r="A25" s="508">
        <v>4</v>
      </c>
      <c r="B25" s="509" t="s">
        <v>1002</v>
      </c>
      <c r="C25" s="509">
        <v>5031</v>
      </c>
      <c r="D25" s="512">
        <v>0</v>
      </c>
      <c r="E25" s="509">
        <v>5031</v>
      </c>
      <c r="F25" s="509"/>
      <c r="G25" s="509"/>
      <c r="H25" s="509"/>
      <c r="I25" s="509"/>
      <c r="J25" s="509"/>
      <c r="K25" s="509"/>
      <c r="L25" s="509"/>
      <c r="M25" s="509"/>
    </row>
    <row r="26" spans="1:13" s="51" customFormat="1" ht="15.75">
      <c r="A26" s="508">
        <v>5</v>
      </c>
      <c r="B26" s="509" t="s">
        <v>1588</v>
      </c>
      <c r="C26" s="509">
        <v>5124</v>
      </c>
      <c r="D26" s="512">
        <v>0</v>
      </c>
      <c r="E26" s="509">
        <v>5124</v>
      </c>
      <c r="F26" s="509"/>
      <c r="G26" s="509"/>
      <c r="H26" s="509"/>
      <c r="I26" s="509"/>
      <c r="J26" s="509"/>
      <c r="K26" s="509"/>
      <c r="L26" s="509"/>
      <c r="M26" s="509"/>
    </row>
    <row r="27" spans="1:13" s="51" customFormat="1" ht="15.75">
      <c r="A27" s="508">
        <v>6</v>
      </c>
      <c r="B27" s="509" t="s">
        <v>1589</v>
      </c>
      <c r="C27" s="512">
        <v>19282</v>
      </c>
      <c r="D27" s="512">
        <v>0</v>
      </c>
      <c r="E27" s="512">
        <v>19282</v>
      </c>
      <c r="F27" s="512"/>
      <c r="G27" s="512"/>
      <c r="H27" s="512"/>
      <c r="I27" s="512"/>
      <c r="J27" s="512"/>
      <c r="K27" s="512"/>
      <c r="L27" s="512"/>
      <c r="M27" s="512"/>
    </row>
    <row r="28" spans="1:13" s="51" customFormat="1" ht="15.75">
      <c r="A28" s="508"/>
      <c r="B28" s="509" t="s">
        <v>1590</v>
      </c>
      <c r="C28" s="509">
        <v>6751</v>
      </c>
      <c r="D28" s="512">
        <v>0</v>
      </c>
      <c r="E28" s="509">
        <v>6751</v>
      </c>
      <c r="F28" s="509"/>
      <c r="G28" s="509"/>
      <c r="H28" s="509"/>
      <c r="I28" s="509"/>
      <c r="J28" s="509"/>
      <c r="K28" s="509"/>
      <c r="L28" s="509"/>
      <c r="M28" s="509"/>
    </row>
    <row r="29" spans="1:13" s="51" customFormat="1" ht="15.75">
      <c r="A29" s="508"/>
      <c r="B29" s="509" t="s">
        <v>1591</v>
      </c>
      <c r="C29" s="509">
        <v>12531</v>
      </c>
      <c r="D29" s="512">
        <v>0</v>
      </c>
      <c r="E29" s="509">
        <v>12531</v>
      </c>
      <c r="F29" s="509"/>
      <c r="G29" s="509"/>
      <c r="H29" s="509"/>
      <c r="I29" s="509"/>
      <c r="J29" s="509"/>
      <c r="K29" s="509"/>
      <c r="L29" s="509"/>
      <c r="M29" s="509"/>
    </row>
    <row r="30" spans="1:13" s="51" customFormat="1" ht="15.75">
      <c r="A30" s="508">
        <v>7</v>
      </c>
      <c r="B30" s="509" t="s">
        <v>1005</v>
      </c>
      <c r="C30" s="509">
        <v>3906</v>
      </c>
      <c r="D30" s="512">
        <v>0</v>
      </c>
      <c r="E30" s="509">
        <v>3906</v>
      </c>
      <c r="F30" s="509"/>
      <c r="G30" s="509"/>
      <c r="H30" s="509"/>
      <c r="I30" s="509"/>
      <c r="J30" s="509"/>
      <c r="K30" s="509"/>
      <c r="L30" s="509"/>
      <c r="M30" s="509"/>
    </row>
    <row r="31" spans="1:13" s="51" customFormat="1" ht="15.75">
      <c r="A31" s="508">
        <v>8</v>
      </c>
      <c r="B31" s="509" t="s">
        <v>1006</v>
      </c>
      <c r="C31" s="512">
        <v>5152</v>
      </c>
      <c r="D31" s="512">
        <v>0</v>
      </c>
      <c r="E31" s="512">
        <v>5152</v>
      </c>
      <c r="F31" s="512"/>
      <c r="G31" s="512"/>
      <c r="H31" s="512"/>
      <c r="I31" s="512"/>
      <c r="J31" s="512"/>
      <c r="K31" s="512"/>
      <c r="L31" s="512"/>
      <c r="M31" s="512"/>
    </row>
    <row r="32" spans="1:13" s="51" customFormat="1" ht="15.75">
      <c r="A32" s="508"/>
      <c r="B32" s="509" t="s">
        <v>1592</v>
      </c>
      <c r="C32" s="509">
        <v>3792</v>
      </c>
      <c r="D32" s="510">
        <v>0</v>
      </c>
      <c r="E32" s="509">
        <v>3792</v>
      </c>
      <c r="F32" s="509"/>
      <c r="G32" s="509"/>
      <c r="H32" s="509"/>
      <c r="I32" s="509"/>
      <c r="J32" s="509"/>
      <c r="K32" s="509"/>
      <c r="L32" s="509"/>
      <c r="M32" s="509"/>
    </row>
    <row r="33" spans="1:13" s="51" customFormat="1" ht="15.75">
      <c r="A33" s="508"/>
      <c r="B33" s="509" t="s">
        <v>1593</v>
      </c>
      <c r="C33" s="509">
        <v>1360</v>
      </c>
      <c r="D33" s="512">
        <v>0</v>
      </c>
      <c r="E33" s="509">
        <v>1360</v>
      </c>
      <c r="F33" s="509"/>
      <c r="G33" s="509"/>
      <c r="H33" s="509"/>
      <c r="I33" s="509"/>
      <c r="J33" s="509"/>
      <c r="K33" s="509"/>
      <c r="L33" s="509"/>
      <c r="M33" s="509"/>
    </row>
    <row r="34" spans="1:13" s="51" customFormat="1" ht="15.75">
      <c r="A34" s="508">
        <v>9</v>
      </c>
      <c r="B34" s="509" t="s">
        <v>1007</v>
      </c>
      <c r="C34" s="509">
        <v>10725</v>
      </c>
      <c r="D34" s="512">
        <v>0</v>
      </c>
      <c r="E34" s="509">
        <v>10725</v>
      </c>
      <c r="F34" s="509"/>
      <c r="G34" s="509"/>
      <c r="H34" s="509"/>
      <c r="I34" s="509"/>
      <c r="J34" s="509"/>
      <c r="K34" s="509"/>
      <c r="L34" s="509"/>
      <c r="M34" s="509"/>
    </row>
    <row r="35" spans="1:13" s="51" customFormat="1" ht="15.75">
      <c r="A35" s="508">
        <v>10</v>
      </c>
      <c r="B35" s="509" t="s">
        <v>1008</v>
      </c>
      <c r="C35" s="512">
        <v>6141</v>
      </c>
      <c r="D35" s="512">
        <v>0</v>
      </c>
      <c r="E35" s="512">
        <v>6141</v>
      </c>
      <c r="F35" s="512"/>
      <c r="G35" s="512"/>
      <c r="H35" s="512"/>
      <c r="I35" s="512"/>
      <c r="J35" s="512"/>
      <c r="K35" s="512"/>
      <c r="L35" s="512"/>
      <c r="M35" s="512"/>
    </row>
    <row r="36" spans="1:13" s="51" customFormat="1" ht="15.75">
      <c r="A36" s="508"/>
      <c r="B36" s="509" t="s">
        <v>1594</v>
      </c>
      <c r="C36" s="509">
        <v>3773</v>
      </c>
      <c r="D36" s="512">
        <v>0</v>
      </c>
      <c r="E36" s="509">
        <v>3773</v>
      </c>
      <c r="F36" s="509"/>
      <c r="G36" s="509"/>
      <c r="H36" s="509"/>
      <c r="I36" s="509"/>
      <c r="J36" s="509"/>
      <c r="K36" s="509"/>
      <c r="L36" s="509"/>
      <c r="M36" s="509"/>
    </row>
    <row r="37" spans="1:13" s="51" customFormat="1" ht="15.75">
      <c r="A37" s="508"/>
      <c r="B37" s="509" t="s">
        <v>1595</v>
      </c>
      <c r="C37" s="509">
        <v>2142</v>
      </c>
      <c r="D37" s="512">
        <v>0</v>
      </c>
      <c r="E37" s="509">
        <v>2142</v>
      </c>
      <c r="F37" s="509"/>
      <c r="G37" s="509"/>
      <c r="H37" s="509"/>
      <c r="I37" s="509"/>
      <c r="J37" s="509"/>
      <c r="K37" s="509"/>
      <c r="L37" s="509"/>
      <c r="M37" s="509"/>
    </row>
    <row r="38" spans="1:13" s="51" customFormat="1" ht="15.75">
      <c r="A38" s="508"/>
      <c r="B38" s="509" t="s">
        <v>1596</v>
      </c>
      <c r="C38" s="509">
        <v>226</v>
      </c>
      <c r="D38" s="512">
        <v>0</v>
      </c>
      <c r="E38" s="509">
        <v>226</v>
      </c>
      <c r="F38" s="509"/>
      <c r="G38" s="509"/>
      <c r="H38" s="509"/>
      <c r="I38" s="509"/>
      <c r="J38" s="509"/>
      <c r="K38" s="509"/>
      <c r="L38" s="509"/>
      <c r="M38" s="509"/>
    </row>
    <row r="39" spans="1:13" s="51" customFormat="1" ht="15.75">
      <c r="A39" s="508">
        <v>11</v>
      </c>
      <c r="B39" s="509" t="s">
        <v>1009</v>
      </c>
      <c r="C39" s="512">
        <v>12485</v>
      </c>
      <c r="D39" s="512">
        <v>0</v>
      </c>
      <c r="E39" s="512">
        <v>12485</v>
      </c>
      <c r="F39" s="512"/>
      <c r="G39" s="512"/>
      <c r="H39" s="512"/>
      <c r="I39" s="512"/>
      <c r="J39" s="512"/>
      <c r="K39" s="512"/>
      <c r="L39" s="512"/>
      <c r="M39" s="512"/>
    </row>
    <row r="40" spans="1:13" s="51" customFormat="1" ht="15.75">
      <c r="A40" s="508"/>
      <c r="B40" s="509" t="s">
        <v>1597</v>
      </c>
      <c r="C40" s="509">
        <v>4428</v>
      </c>
      <c r="D40" s="512">
        <v>0</v>
      </c>
      <c r="E40" s="509">
        <v>4428</v>
      </c>
      <c r="F40" s="509"/>
      <c r="G40" s="509"/>
      <c r="H40" s="509"/>
      <c r="I40" s="509"/>
      <c r="J40" s="509"/>
      <c r="K40" s="509"/>
      <c r="L40" s="509"/>
      <c r="M40" s="509"/>
    </row>
    <row r="41" spans="1:13" s="51" customFormat="1" ht="15.75">
      <c r="A41" s="508"/>
      <c r="B41" s="509" t="s">
        <v>1598</v>
      </c>
      <c r="C41" s="509">
        <v>8057</v>
      </c>
      <c r="D41" s="512">
        <v>0</v>
      </c>
      <c r="E41" s="509">
        <v>8057</v>
      </c>
      <c r="F41" s="509"/>
      <c r="G41" s="509"/>
      <c r="H41" s="509"/>
      <c r="I41" s="509"/>
      <c r="J41" s="509"/>
      <c r="K41" s="509"/>
      <c r="L41" s="509"/>
      <c r="M41" s="509"/>
    </row>
    <row r="42" spans="1:13" s="51" customFormat="1" ht="15.75">
      <c r="A42" s="508">
        <v>12</v>
      </c>
      <c r="B42" s="509" t="s">
        <v>1010</v>
      </c>
      <c r="C42" s="509">
        <v>860</v>
      </c>
      <c r="D42" s="512">
        <v>0</v>
      </c>
      <c r="E42" s="509">
        <v>860</v>
      </c>
      <c r="F42" s="509"/>
      <c r="G42" s="509"/>
      <c r="H42" s="509"/>
      <c r="I42" s="509"/>
      <c r="J42" s="509"/>
      <c r="K42" s="509"/>
      <c r="L42" s="509"/>
      <c r="M42" s="509"/>
    </row>
    <row r="43" spans="1:13" s="51" customFormat="1" ht="15.75">
      <c r="A43" s="508">
        <v>13</v>
      </c>
      <c r="B43" s="509" t="s">
        <v>1011</v>
      </c>
      <c r="C43" s="509">
        <v>9546</v>
      </c>
      <c r="D43" s="512">
        <v>0</v>
      </c>
      <c r="E43" s="509">
        <v>9546</v>
      </c>
      <c r="F43" s="509"/>
      <c r="G43" s="509"/>
      <c r="H43" s="509"/>
      <c r="I43" s="509"/>
      <c r="J43" s="509"/>
      <c r="K43" s="509"/>
      <c r="L43" s="509"/>
      <c r="M43" s="509"/>
    </row>
    <row r="44" spans="1:13" s="51" customFormat="1" ht="15.75">
      <c r="A44" s="508">
        <v>14</v>
      </c>
      <c r="B44" s="509" t="s">
        <v>1012</v>
      </c>
      <c r="C44" s="512">
        <v>21145</v>
      </c>
      <c r="D44" s="512">
        <v>0</v>
      </c>
      <c r="E44" s="512">
        <v>21145</v>
      </c>
      <c r="F44" s="512"/>
      <c r="G44" s="512"/>
      <c r="H44" s="512"/>
      <c r="I44" s="512"/>
      <c r="J44" s="512"/>
      <c r="K44" s="512"/>
      <c r="L44" s="512"/>
      <c r="M44" s="512"/>
    </row>
    <row r="45" spans="1:13" s="51" customFormat="1" ht="15.75">
      <c r="A45" s="508"/>
      <c r="B45" s="509" t="s">
        <v>1599</v>
      </c>
      <c r="C45" s="509">
        <v>15426</v>
      </c>
      <c r="D45" s="512">
        <v>0</v>
      </c>
      <c r="E45" s="509">
        <v>15426</v>
      </c>
      <c r="F45" s="509"/>
      <c r="G45" s="509"/>
      <c r="H45" s="509"/>
      <c r="I45" s="509"/>
      <c r="J45" s="509"/>
      <c r="K45" s="509"/>
      <c r="L45" s="509"/>
      <c r="M45" s="509"/>
    </row>
    <row r="46" spans="1:13" s="51" customFormat="1" ht="15.75">
      <c r="A46" s="508"/>
      <c r="B46" s="509" t="s">
        <v>1600</v>
      </c>
      <c r="C46" s="509">
        <v>2455</v>
      </c>
      <c r="D46" s="512">
        <v>0</v>
      </c>
      <c r="E46" s="509">
        <v>2455</v>
      </c>
      <c r="F46" s="509"/>
      <c r="G46" s="509"/>
      <c r="H46" s="509"/>
      <c r="I46" s="509"/>
      <c r="J46" s="509"/>
      <c r="K46" s="509"/>
      <c r="L46" s="509"/>
      <c r="M46" s="509"/>
    </row>
    <row r="47" spans="1:13" s="51" customFormat="1" ht="15.75">
      <c r="A47" s="508"/>
      <c r="B47" s="509" t="s">
        <v>1601</v>
      </c>
      <c r="C47" s="509">
        <v>3264</v>
      </c>
      <c r="D47" s="512">
        <v>0</v>
      </c>
      <c r="E47" s="509">
        <v>3264</v>
      </c>
      <c r="F47" s="509"/>
      <c r="G47" s="509"/>
      <c r="H47" s="509"/>
      <c r="I47" s="509"/>
      <c r="J47" s="509"/>
      <c r="K47" s="509"/>
      <c r="L47" s="509"/>
      <c r="M47" s="509"/>
    </row>
    <row r="48" spans="1:13" s="51" customFormat="1" ht="15.75">
      <c r="A48" s="508">
        <v>15</v>
      </c>
      <c r="B48" s="509" t="s">
        <v>1602</v>
      </c>
      <c r="C48" s="512">
        <v>9684</v>
      </c>
      <c r="D48" s="512">
        <v>0</v>
      </c>
      <c r="E48" s="512">
        <v>9684</v>
      </c>
      <c r="F48" s="512"/>
      <c r="G48" s="512"/>
      <c r="H48" s="512"/>
      <c r="I48" s="512"/>
      <c r="J48" s="512"/>
      <c r="K48" s="512"/>
      <c r="L48" s="512"/>
      <c r="M48" s="512"/>
    </row>
    <row r="49" spans="1:13" s="51" customFormat="1" ht="15.75">
      <c r="A49" s="508"/>
      <c r="B49" s="509" t="s">
        <v>1603</v>
      </c>
      <c r="C49" s="509">
        <v>8314</v>
      </c>
      <c r="D49" s="512">
        <v>0</v>
      </c>
      <c r="E49" s="509">
        <v>8314</v>
      </c>
      <c r="F49" s="509"/>
      <c r="G49" s="509"/>
      <c r="H49" s="509"/>
      <c r="I49" s="509"/>
      <c r="J49" s="509"/>
      <c r="K49" s="509"/>
      <c r="L49" s="509"/>
      <c r="M49" s="509"/>
    </row>
    <row r="50" spans="1:13" s="51" customFormat="1" ht="15.75">
      <c r="A50" s="508"/>
      <c r="B50" s="509" t="s">
        <v>1604</v>
      </c>
      <c r="C50" s="509">
        <v>294</v>
      </c>
      <c r="D50" s="512">
        <v>0</v>
      </c>
      <c r="E50" s="509">
        <v>294</v>
      </c>
      <c r="F50" s="509"/>
      <c r="G50" s="509"/>
      <c r="H50" s="509"/>
      <c r="I50" s="509"/>
      <c r="J50" s="509"/>
      <c r="K50" s="509"/>
      <c r="L50" s="509"/>
      <c r="M50" s="509"/>
    </row>
    <row r="51" spans="1:13" s="51" customFormat="1" ht="15.75">
      <c r="A51" s="508"/>
      <c r="B51" s="509" t="s">
        <v>1605</v>
      </c>
      <c r="C51" s="509">
        <v>1076</v>
      </c>
      <c r="D51" s="512">
        <v>0</v>
      </c>
      <c r="E51" s="509">
        <v>1076</v>
      </c>
      <c r="F51" s="509"/>
      <c r="G51" s="509"/>
      <c r="H51" s="509"/>
      <c r="I51" s="509"/>
      <c r="J51" s="509"/>
      <c r="K51" s="509"/>
      <c r="L51" s="509"/>
      <c r="M51" s="509"/>
    </row>
    <row r="52" spans="1:13" s="51" customFormat="1" ht="15.75">
      <c r="A52" s="508">
        <v>16</v>
      </c>
      <c r="B52" s="509" t="s">
        <v>1606</v>
      </c>
      <c r="C52" s="509">
        <v>7281</v>
      </c>
      <c r="D52" s="512">
        <v>0</v>
      </c>
      <c r="E52" s="509">
        <v>7281</v>
      </c>
      <c r="F52" s="509"/>
      <c r="G52" s="509"/>
      <c r="H52" s="509"/>
      <c r="I52" s="509"/>
      <c r="J52" s="509"/>
      <c r="K52" s="509"/>
      <c r="L52" s="509"/>
      <c r="M52" s="509"/>
    </row>
    <row r="53" spans="1:13" s="51" customFormat="1" ht="15.75">
      <c r="A53" s="508">
        <v>17</v>
      </c>
      <c r="B53" s="509" t="s">
        <v>1015</v>
      </c>
      <c r="C53" s="512">
        <v>7789</v>
      </c>
      <c r="D53" s="512">
        <v>0</v>
      </c>
      <c r="E53" s="512">
        <v>7789</v>
      </c>
      <c r="F53" s="512"/>
      <c r="G53" s="512"/>
      <c r="H53" s="512"/>
      <c r="I53" s="512"/>
      <c r="J53" s="512"/>
      <c r="K53" s="512"/>
      <c r="L53" s="512"/>
      <c r="M53" s="512"/>
    </row>
    <row r="54" spans="1:13" s="51" customFormat="1" ht="15.75">
      <c r="A54" s="508"/>
      <c r="B54" s="509" t="s">
        <v>1607</v>
      </c>
      <c r="C54" s="509">
        <v>4164</v>
      </c>
      <c r="D54" s="512">
        <v>0</v>
      </c>
      <c r="E54" s="509">
        <v>4164</v>
      </c>
      <c r="F54" s="509"/>
      <c r="G54" s="509"/>
      <c r="H54" s="509"/>
      <c r="I54" s="509"/>
      <c r="J54" s="509"/>
      <c r="K54" s="509"/>
      <c r="L54" s="509"/>
      <c r="M54" s="509"/>
    </row>
    <row r="55" spans="1:13" s="51" customFormat="1" ht="15.75">
      <c r="A55" s="508"/>
      <c r="B55" s="509" t="s">
        <v>1608</v>
      </c>
      <c r="C55" s="509">
        <v>2157</v>
      </c>
      <c r="D55" s="512">
        <v>0</v>
      </c>
      <c r="E55" s="509">
        <v>2157</v>
      </c>
      <c r="F55" s="509"/>
      <c r="G55" s="509"/>
      <c r="H55" s="509"/>
      <c r="I55" s="509"/>
      <c r="J55" s="509"/>
      <c r="K55" s="509"/>
      <c r="L55" s="509"/>
      <c r="M55" s="509"/>
    </row>
    <row r="56" spans="1:13" s="51" customFormat="1" ht="15.75">
      <c r="A56" s="508"/>
      <c r="B56" s="509" t="s">
        <v>1609</v>
      </c>
      <c r="C56" s="509">
        <v>1468</v>
      </c>
      <c r="D56" s="512">
        <v>0</v>
      </c>
      <c r="E56" s="509">
        <v>1468</v>
      </c>
      <c r="F56" s="509"/>
      <c r="G56" s="509"/>
      <c r="H56" s="509"/>
      <c r="I56" s="509"/>
      <c r="J56" s="509"/>
      <c r="K56" s="509"/>
      <c r="L56" s="509"/>
      <c r="M56" s="509"/>
    </row>
    <row r="57" spans="1:13" s="51" customFormat="1" ht="15.75">
      <c r="A57" s="508">
        <v>18</v>
      </c>
      <c r="B57" s="509" t="s">
        <v>1016</v>
      </c>
      <c r="C57" s="509">
        <v>4254</v>
      </c>
      <c r="D57" s="512">
        <v>0</v>
      </c>
      <c r="E57" s="509">
        <v>4254</v>
      </c>
      <c r="F57" s="509"/>
      <c r="G57" s="509"/>
      <c r="H57" s="509"/>
      <c r="I57" s="509"/>
      <c r="J57" s="509"/>
      <c r="K57" s="509"/>
      <c r="L57" s="509"/>
      <c r="M57" s="509"/>
    </row>
    <row r="58" spans="1:13" s="51" customFormat="1" ht="15.75">
      <c r="A58" s="508">
        <v>19</v>
      </c>
      <c r="B58" s="509" t="s">
        <v>1017</v>
      </c>
      <c r="C58" s="512">
        <v>36219</v>
      </c>
      <c r="D58" s="512">
        <v>0</v>
      </c>
      <c r="E58" s="512">
        <v>36219</v>
      </c>
      <c r="F58" s="512"/>
      <c r="G58" s="512"/>
      <c r="H58" s="512"/>
      <c r="I58" s="512"/>
      <c r="J58" s="512"/>
      <c r="K58" s="512"/>
      <c r="L58" s="512"/>
      <c r="M58" s="512"/>
    </row>
    <row r="59" spans="1:13" s="51" customFormat="1" ht="15.75">
      <c r="A59" s="508"/>
      <c r="B59" s="509" t="s">
        <v>1610</v>
      </c>
      <c r="C59" s="509">
        <v>24128</v>
      </c>
      <c r="D59" s="510">
        <v>0</v>
      </c>
      <c r="E59" s="509">
        <v>24128</v>
      </c>
      <c r="F59" s="509"/>
      <c r="G59" s="509"/>
      <c r="H59" s="509"/>
      <c r="I59" s="509"/>
      <c r="J59" s="509"/>
      <c r="K59" s="509"/>
      <c r="L59" s="509"/>
      <c r="M59" s="509"/>
    </row>
    <row r="60" spans="1:13" s="51" customFormat="1" ht="15.75">
      <c r="A60" s="508"/>
      <c r="B60" s="509" t="s">
        <v>1611</v>
      </c>
      <c r="C60" s="509">
        <v>9295</v>
      </c>
      <c r="D60" s="512">
        <v>0</v>
      </c>
      <c r="E60" s="509">
        <v>9295</v>
      </c>
      <c r="F60" s="509"/>
      <c r="G60" s="509"/>
      <c r="H60" s="509"/>
      <c r="I60" s="509"/>
      <c r="J60" s="509"/>
      <c r="K60" s="509"/>
      <c r="L60" s="509"/>
      <c r="M60" s="509"/>
    </row>
    <row r="61" spans="1:13" s="51" customFormat="1" ht="15.75">
      <c r="A61" s="508"/>
      <c r="B61" s="509" t="s">
        <v>1612</v>
      </c>
      <c r="C61" s="509">
        <v>1574</v>
      </c>
      <c r="D61" s="512">
        <v>0</v>
      </c>
      <c r="E61" s="509">
        <v>1574</v>
      </c>
      <c r="F61" s="509"/>
      <c r="G61" s="509"/>
      <c r="H61" s="509"/>
      <c r="I61" s="509"/>
      <c r="J61" s="509"/>
      <c r="K61" s="509"/>
      <c r="L61" s="509"/>
      <c r="M61" s="509"/>
    </row>
    <row r="62" spans="1:13" s="51" customFormat="1" ht="15.75">
      <c r="A62" s="508"/>
      <c r="B62" s="509" t="s">
        <v>1613</v>
      </c>
      <c r="C62" s="509">
        <v>1222</v>
      </c>
      <c r="D62" s="510">
        <v>0</v>
      </c>
      <c r="E62" s="509">
        <v>1222</v>
      </c>
      <c r="F62" s="509"/>
      <c r="G62" s="509"/>
      <c r="H62" s="509"/>
      <c r="I62" s="509"/>
      <c r="J62" s="509"/>
      <c r="K62" s="509"/>
      <c r="L62" s="509"/>
      <c r="M62" s="509"/>
    </row>
    <row r="63" spans="1:13" s="51" customFormat="1" ht="15.75">
      <c r="A63" s="508">
        <v>20</v>
      </c>
      <c r="B63" s="509" t="s">
        <v>1614</v>
      </c>
      <c r="C63" s="509">
        <v>5999</v>
      </c>
      <c r="D63" s="512">
        <v>0</v>
      </c>
      <c r="E63" s="509">
        <v>5999</v>
      </c>
      <c r="F63" s="509"/>
      <c r="G63" s="509"/>
      <c r="H63" s="509"/>
      <c r="I63" s="509"/>
      <c r="J63" s="509"/>
      <c r="K63" s="509"/>
      <c r="L63" s="509"/>
      <c r="M63" s="509"/>
    </row>
    <row r="64" spans="1:13" s="51" customFormat="1" ht="15.75">
      <c r="A64" s="508">
        <v>21</v>
      </c>
      <c r="B64" s="509" t="s">
        <v>1019</v>
      </c>
      <c r="C64" s="509">
        <v>2731</v>
      </c>
      <c r="D64" s="512">
        <v>0</v>
      </c>
      <c r="E64" s="509">
        <v>2731</v>
      </c>
      <c r="F64" s="509"/>
      <c r="G64" s="509"/>
      <c r="H64" s="509"/>
      <c r="I64" s="509"/>
      <c r="J64" s="509"/>
      <c r="K64" s="509"/>
      <c r="L64" s="509"/>
      <c r="M64" s="509"/>
    </row>
    <row r="65" spans="1:13" s="51" customFormat="1" ht="16.5">
      <c r="A65" s="506" t="s">
        <v>70</v>
      </c>
      <c r="B65" s="507" t="s">
        <v>1615</v>
      </c>
      <c r="C65" s="602">
        <v>19204</v>
      </c>
      <c r="D65" s="505">
        <v>0</v>
      </c>
      <c r="E65" s="602">
        <v>19204</v>
      </c>
      <c r="F65" s="602"/>
      <c r="G65" s="602"/>
      <c r="H65" s="602"/>
      <c r="I65" s="602"/>
      <c r="J65" s="602"/>
      <c r="K65" s="602"/>
      <c r="L65" s="602"/>
      <c r="M65" s="602"/>
    </row>
    <row r="66" spans="1:13" s="51" customFormat="1" ht="15.75">
      <c r="A66" s="508">
        <v>22</v>
      </c>
      <c r="B66" s="509" t="s">
        <v>1616</v>
      </c>
      <c r="C66" s="509">
        <v>4790</v>
      </c>
      <c r="D66" s="512">
        <v>0</v>
      </c>
      <c r="E66" s="509">
        <v>4790</v>
      </c>
      <c r="F66" s="509"/>
      <c r="G66" s="509"/>
      <c r="H66" s="509"/>
      <c r="I66" s="509"/>
      <c r="J66" s="509"/>
      <c r="K66" s="509"/>
      <c r="L66" s="512"/>
      <c r="M66" s="509"/>
    </row>
    <row r="67" spans="1:13" s="51" customFormat="1" ht="15.75">
      <c r="A67" s="508">
        <v>23</v>
      </c>
      <c r="B67" s="509" t="s">
        <v>1617</v>
      </c>
      <c r="C67" s="509">
        <v>4318</v>
      </c>
      <c r="D67" s="512">
        <v>0</v>
      </c>
      <c r="E67" s="509">
        <v>4318</v>
      </c>
      <c r="F67" s="509"/>
      <c r="G67" s="509"/>
      <c r="H67" s="509"/>
      <c r="I67" s="509"/>
      <c r="J67" s="509"/>
      <c r="K67" s="509"/>
      <c r="L67" s="512"/>
      <c r="M67" s="509"/>
    </row>
    <row r="68" spans="1:13" s="51" customFormat="1" ht="15.75">
      <c r="A68" s="508">
        <v>24</v>
      </c>
      <c r="B68" s="509" t="s">
        <v>1618</v>
      </c>
      <c r="C68" s="509">
        <v>3669</v>
      </c>
      <c r="D68" s="512">
        <v>0</v>
      </c>
      <c r="E68" s="509">
        <v>3669</v>
      </c>
      <c r="F68" s="509"/>
      <c r="G68" s="509"/>
      <c r="H68" s="509"/>
      <c r="I68" s="509"/>
      <c r="J68" s="509"/>
      <c r="K68" s="509"/>
      <c r="L68" s="512"/>
      <c r="M68" s="509"/>
    </row>
    <row r="69" spans="1:13" s="51" customFormat="1" ht="15.75">
      <c r="A69" s="508">
        <v>25</v>
      </c>
      <c r="B69" s="509" t="s">
        <v>1619</v>
      </c>
      <c r="C69" s="509">
        <v>4091</v>
      </c>
      <c r="D69" s="512">
        <v>0</v>
      </c>
      <c r="E69" s="509">
        <v>4091</v>
      </c>
      <c r="F69" s="509"/>
      <c r="G69" s="509"/>
      <c r="H69" s="509"/>
      <c r="I69" s="509"/>
      <c r="J69" s="509"/>
      <c r="K69" s="509"/>
      <c r="L69" s="512"/>
      <c r="M69" s="509"/>
    </row>
    <row r="70" spans="1:13" s="51" customFormat="1" ht="15.75">
      <c r="A70" s="541">
        <v>26</v>
      </c>
      <c r="B70" s="527" t="s">
        <v>1620</v>
      </c>
      <c r="C70" s="509">
        <v>2336</v>
      </c>
      <c r="D70" s="512">
        <v>0</v>
      </c>
      <c r="E70" s="527">
        <v>2336</v>
      </c>
      <c r="F70" s="527"/>
      <c r="G70" s="527"/>
      <c r="H70" s="527"/>
      <c r="I70" s="527"/>
      <c r="J70" s="527"/>
      <c r="K70" s="527"/>
      <c r="L70" s="512"/>
      <c r="M70" s="527"/>
    </row>
    <row r="71" spans="1:13" s="51" customFormat="1" ht="16.5">
      <c r="A71" s="506" t="s">
        <v>73</v>
      </c>
      <c r="B71" s="507" t="s">
        <v>1621</v>
      </c>
      <c r="C71" s="602">
        <v>15500</v>
      </c>
      <c r="D71" s="602">
        <v>0</v>
      </c>
      <c r="E71" s="602">
        <v>15500</v>
      </c>
      <c r="F71" s="602"/>
      <c r="G71" s="602"/>
      <c r="H71" s="602"/>
      <c r="I71" s="602"/>
      <c r="J71" s="602"/>
      <c r="K71" s="602"/>
      <c r="L71" s="602"/>
      <c r="M71" s="602"/>
    </row>
    <row r="72" spans="1:13" s="51" customFormat="1" ht="15.75">
      <c r="A72" s="508">
        <v>1</v>
      </c>
      <c r="B72" s="509" t="s">
        <v>1622</v>
      </c>
      <c r="C72" s="509">
        <v>2500</v>
      </c>
      <c r="D72" s="509">
        <v>0</v>
      </c>
      <c r="E72" s="509">
        <v>2500</v>
      </c>
      <c r="F72" s="509"/>
      <c r="G72" s="509"/>
      <c r="H72" s="509"/>
      <c r="I72" s="509"/>
      <c r="J72" s="509"/>
      <c r="K72" s="509"/>
      <c r="L72" s="509"/>
      <c r="M72" s="509"/>
    </row>
    <row r="73" spans="1:13" s="51" customFormat="1" ht="15.75">
      <c r="A73" s="508">
        <v>2</v>
      </c>
      <c r="B73" s="509" t="s">
        <v>1623</v>
      </c>
      <c r="C73" s="509">
        <v>5000</v>
      </c>
      <c r="D73" s="509">
        <v>0</v>
      </c>
      <c r="E73" s="509">
        <v>5000</v>
      </c>
      <c r="F73" s="509"/>
      <c r="G73" s="509"/>
      <c r="H73" s="509"/>
      <c r="I73" s="509"/>
      <c r="J73" s="509"/>
      <c r="K73" s="509"/>
      <c r="L73" s="509"/>
      <c r="M73" s="509"/>
    </row>
    <row r="74" spans="1:13" s="51" customFormat="1" ht="15.75">
      <c r="A74" s="508">
        <v>3</v>
      </c>
      <c r="B74" s="509" t="s">
        <v>1624</v>
      </c>
      <c r="C74" s="509">
        <v>2000</v>
      </c>
      <c r="D74" s="509">
        <v>0</v>
      </c>
      <c r="E74" s="509">
        <v>2000</v>
      </c>
      <c r="F74" s="509"/>
      <c r="G74" s="509"/>
      <c r="H74" s="509"/>
      <c r="I74" s="509"/>
      <c r="J74" s="509"/>
      <c r="K74" s="509"/>
      <c r="L74" s="509"/>
      <c r="M74" s="509"/>
    </row>
    <row r="75" spans="1:13" s="51" customFormat="1" ht="15.75">
      <c r="A75" s="508">
        <v>4</v>
      </c>
      <c r="B75" s="509" t="s">
        <v>1625</v>
      </c>
      <c r="C75" s="509">
        <v>1000</v>
      </c>
      <c r="D75" s="509">
        <v>0</v>
      </c>
      <c r="E75" s="509">
        <v>1000</v>
      </c>
      <c r="F75" s="509"/>
      <c r="G75" s="509"/>
      <c r="H75" s="509"/>
      <c r="I75" s="509"/>
      <c r="J75" s="509"/>
      <c r="K75" s="509"/>
      <c r="L75" s="509"/>
      <c r="M75" s="509"/>
    </row>
    <row r="76" spans="1:13" s="51" customFormat="1" ht="15.75">
      <c r="A76" s="508">
        <v>5</v>
      </c>
      <c r="B76" s="509" t="s">
        <v>1626</v>
      </c>
      <c r="C76" s="509">
        <v>5000</v>
      </c>
      <c r="D76" s="509">
        <v>0</v>
      </c>
      <c r="E76" s="509">
        <v>5000</v>
      </c>
      <c r="F76" s="509"/>
      <c r="G76" s="509"/>
      <c r="H76" s="509"/>
      <c r="I76" s="509"/>
      <c r="J76" s="509"/>
      <c r="K76" s="509"/>
      <c r="L76" s="509"/>
      <c r="M76" s="509"/>
    </row>
    <row r="77" spans="1:13" s="51" customFormat="1" ht="15.75">
      <c r="A77" s="506" t="s">
        <v>77</v>
      </c>
      <c r="B77" s="507" t="s">
        <v>1627</v>
      </c>
      <c r="C77" s="505">
        <v>2300</v>
      </c>
      <c r="D77" s="505">
        <v>0</v>
      </c>
      <c r="E77" s="505">
        <v>2300</v>
      </c>
      <c r="F77" s="505"/>
      <c r="G77" s="505"/>
      <c r="H77" s="505"/>
      <c r="I77" s="505"/>
      <c r="J77" s="505"/>
      <c r="K77" s="505"/>
      <c r="L77" s="505"/>
      <c r="M77" s="505"/>
    </row>
    <row r="78" spans="1:13" s="51" customFormat="1" ht="15.75">
      <c r="A78" s="508">
        <v>1</v>
      </c>
      <c r="B78" s="509" t="s">
        <v>1580</v>
      </c>
      <c r="C78" s="509">
        <v>370</v>
      </c>
      <c r="D78" s="509">
        <v>0</v>
      </c>
      <c r="E78" s="509">
        <v>370</v>
      </c>
      <c r="F78" s="509"/>
      <c r="G78" s="509"/>
      <c r="H78" s="509"/>
      <c r="I78" s="509"/>
      <c r="J78" s="509"/>
      <c r="K78" s="509"/>
      <c r="L78" s="509"/>
      <c r="M78" s="509"/>
    </row>
    <row r="79" spans="1:13" s="51" customFormat="1" ht="15.75">
      <c r="A79" s="508"/>
      <c r="B79" s="603" t="s">
        <v>1628</v>
      </c>
      <c r="C79" s="509">
        <v>150</v>
      </c>
      <c r="D79" s="603">
        <v>0</v>
      </c>
      <c r="E79" s="603">
        <v>150</v>
      </c>
      <c r="F79" s="603"/>
      <c r="G79" s="603"/>
      <c r="H79" s="603"/>
      <c r="I79" s="603"/>
      <c r="J79" s="603"/>
      <c r="K79" s="603"/>
      <c r="L79" s="603"/>
      <c r="M79" s="603"/>
    </row>
    <row r="80" spans="1:13" s="51" customFormat="1" ht="15.75">
      <c r="A80" s="508"/>
      <c r="B80" s="603" t="s">
        <v>1629</v>
      </c>
      <c r="C80" s="509">
        <v>60</v>
      </c>
      <c r="D80" s="603">
        <v>0</v>
      </c>
      <c r="E80" s="603">
        <v>60</v>
      </c>
      <c r="F80" s="603"/>
      <c r="G80" s="603"/>
      <c r="H80" s="603"/>
      <c r="I80" s="603"/>
      <c r="J80" s="603"/>
      <c r="K80" s="603"/>
      <c r="L80" s="603"/>
      <c r="M80" s="603"/>
    </row>
    <row r="81" spans="1:13" s="51" customFormat="1" ht="15.75">
      <c r="A81" s="508"/>
      <c r="B81" s="603" t="s">
        <v>1630</v>
      </c>
      <c r="C81" s="509">
        <v>100</v>
      </c>
      <c r="D81" s="603">
        <v>0</v>
      </c>
      <c r="E81" s="603">
        <v>100</v>
      </c>
      <c r="F81" s="603"/>
      <c r="G81" s="603"/>
      <c r="H81" s="603"/>
      <c r="I81" s="603"/>
      <c r="J81" s="603"/>
      <c r="K81" s="603"/>
      <c r="L81" s="603"/>
      <c r="M81" s="603"/>
    </row>
    <row r="82" spans="1:13" s="51" customFormat="1" ht="15.75">
      <c r="A82" s="508"/>
      <c r="B82" s="603" t="s">
        <v>1583</v>
      </c>
      <c r="C82" s="509">
        <v>60</v>
      </c>
      <c r="D82" s="603">
        <v>0</v>
      </c>
      <c r="E82" s="603">
        <v>60</v>
      </c>
      <c r="F82" s="603"/>
      <c r="G82" s="603"/>
      <c r="H82" s="603"/>
      <c r="I82" s="603"/>
      <c r="J82" s="603"/>
      <c r="K82" s="603"/>
      <c r="L82" s="603"/>
      <c r="M82" s="603"/>
    </row>
    <row r="83" spans="1:13" s="51" customFormat="1" ht="15.75">
      <c r="A83" s="508">
        <v>2</v>
      </c>
      <c r="B83" s="509" t="s">
        <v>1589</v>
      </c>
      <c r="C83" s="509">
        <v>1150</v>
      </c>
      <c r="D83" s="509">
        <v>0</v>
      </c>
      <c r="E83" s="509">
        <v>1150</v>
      </c>
      <c r="F83" s="509"/>
      <c r="G83" s="509"/>
      <c r="H83" s="509"/>
      <c r="I83" s="509"/>
      <c r="J83" s="509"/>
      <c r="K83" s="509"/>
      <c r="L83" s="509"/>
      <c r="M83" s="509"/>
    </row>
    <row r="84" spans="1:13" s="51" customFormat="1" ht="15.75">
      <c r="A84" s="508"/>
      <c r="B84" s="603" t="s">
        <v>1631</v>
      </c>
      <c r="C84" s="509">
        <v>1150</v>
      </c>
      <c r="D84" s="603">
        <v>0</v>
      </c>
      <c r="E84" s="603">
        <v>1150</v>
      </c>
      <c r="F84" s="603"/>
      <c r="G84" s="603"/>
      <c r="H84" s="603"/>
      <c r="I84" s="603"/>
      <c r="J84" s="603"/>
      <c r="K84" s="603"/>
      <c r="L84" s="603"/>
      <c r="M84" s="603"/>
    </row>
    <row r="85" spans="1:13" s="51" customFormat="1" ht="15.75">
      <c r="A85" s="508">
        <v>3</v>
      </c>
      <c r="B85" s="509" t="s">
        <v>1002</v>
      </c>
      <c r="C85" s="509">
        <v>40</v>
      </c>
      <c r="D85" s="509">
        <v>0</v>
      </c>
      <c r="E85" s="509">
        <v>40</v>
      </c>
      <c r="F85" s="509"/>
      <c r="G85" s="509"/>
      <c r="H85" s="509"/>
      <c r="I85" s="509"/>
      <c r="J85" s="509"/>
      <c r="K85" s="509"/>
      <c r="L85" s="509"/>
      <c r="M85" s="509"/>
    </row>
    <row r="86" spans="1:13" s="51" customFormat="1" ht="15.75">
      <c r="A86" s="508"/>
      <c r="B86" s="509" t="s">
        <v>1628</v>
      </c>
      <c r="C86" s="509">
        <v>40</v>
      </c>
      <c r="D86" s="509">
        <v>0</v>
      </c>
      <c r="E86" s="509">
        <v>40</v>
      </c>
      <c r="F86" s="509"/>
      <c r="G86" s="509"/>
      <c r="H86" s="509"/>
      <c r="I86" s="509"/>
      <c r="J86" s="509"/>
      <c r="K86" s="509"/>
      <c r="L86" s="509"/>
      <c r="M86" s="509"/>
    </row>
    <row r="87" spans="1:13" s="51" customFormat="1" ht="15.75">
      <c r="A87" s="508">
        <v>4</v>
      </c>
      <c r="B87" s="509" t="s">
        <v>1008</v>
      </c>
      <c r="C87" s="509">
        <v>250</v>
      </c>
      <c r="D87" s="509">
        <v>0</v>
      </c>
      <c r="E87" s="509">
        <v>250</v>
      </c>
      <c r="F87" s="509"/>
      <c r="G87" s="509"/>
      <c r="H87" s="509"/>
      <c r="I87" s="509"/>
      <c r="J87" s="509"/>
      <c r="K87" s="509"/>
      <c r="L87" s="509"/>
      <c r="M87" s="509"/>
    </row>
    <row r="88" spans="1:13" s="51" customFormat="1" ht="15.75">
      <c r="A88" s="508"/>
      <c r="B88" s="603" t="s">
        <v>1632</v>
      </c>
      <c r="C88" s="509">
        <v>250</v>
      </c>
      <c r="D88" s="603">
        <v>0</v>
      </c>
      <c r="E88" s="603">
        <v>250</v>
      </c>
      <c r="F88" s="603"/>
      <c r="G88" s="603"/>
      <c r="H88" s="603"/>
      <c r="I88" s="603"/>
      <c r="J88" s="603"/>
      <c r="K88" s="603"/>
      <c r="L88" s="603"/>
      <c r="M88" s="603"/>
    </row>
    <row r="89" spans="1:13" s="51" customFormat="1" ht="15.75">
      <c r="A89" s="508">
        <v>5</v>
      </c>
      <c r="B89" s="509" t="s">
        <v>1015</v>
      </c>
      <c r="C89" s="509">
        <v>240</v>
      </c>
      <c r="D89" s="509">
        <v>0</v>
      </c>
      <c r="E89" s="509">
        <v>240</v>
      </c>
      <c r="F89" s="509"/>
      <c r="G89" s="509"/>
      <c r="H89" s="509"/>
      <c r="I89" s="509"/>
      <c r="J89" s="509"/>
      <c r="K89" s="509"/>
      <c r="L89" s="509"/>
      <c r="M89" s="509"/>
    </row>
    <row r="90" spans="1:13" s="51" customFormat="1" ht="15.75">
      <c r="A90" s="508"/>
      <c r="B90" s="603" t="s">
        <v>1628</v>
      </c>
      <c r="C90" s="509">
        <v>240</v>
      </c>
      <c r="D90" s="603">
        <v>0</v>
      </c>
      <c r="E90" s="603">
        <v>240</v>
      </c>
      <c r="F90" s="603"/>
      <c r="G90" s="603"/>
      <c r="H90" s="603"/>
      <c r="I90" s="603"/>
      <c r="J90" s="603"/>
      <c r="K90" s="603"/>
      <c r="L90" s="603"/>
      <c r="M90" s="603"/>
    </row>
    <row r="91" spans="1:13" s="51" customFormat="1" ht="15.75">
      <c r="A91" s="508">
        <v>6</v>
      </c>
      <c r="B91" s="509" t="s">
        <v>1633</v>
      </c>
      <c r="C91" s="509">
        <v>40</v>
      </c>
      <c r="D91" s="509">
        <v>0</v>
      </c>
      <c r="E91" s="509">
        <v>40</v>
      </c>
      <c r="F91" s="509"/>
      <c r="G91" s="509"/>
      <c r="H91" s="509"/>
      <c r="I91" s="509"/>
      <c r="J91" s="509"/>
      <c r="K91" s="509"/>
      <c r="L91" s="509"/>
      <c r="M91" s="509"/>
    </row>
    <row r="92" spans="1:13" s="51" customFormat="1" ht="15.75">
      <c r="A92" s="508"/>
      <c r="B92" s="603" t="s">
        <v>1628</v>
      </c>
      <c r="C92" s="509">
        <v>40</v>
      </c>
      <c r="D92" s="603">
        <v>0</v>
      </c>
      <c r="E92" s="603">
        <v>40</v>
      </c>
      <c r="F92" s="603"/>
      <c r="G92" s="603"/>
      <c r="H92" s="603"/>
      <c r="I92" s="603"/>
      <c r="J92" s="603"/>
      <c r="K92" s="603"/>
      <c r="L92" s="603"/>
      <c r="M92" s="603"/>
    </row>
    <row r="93" spans="1:13" s="51" customFormat="1" ht="15.75">
      <c r="A93" s="508">
        <v>7</v>
      </c>
      <c r="B93" s="509" t="s">
        <v>1012</v>
      </c>
      <c r="C93" s="509">
        <v>150</v>
      </c>
      <c r="D93" s="509">
        <v>0</v>
      </c>
      <c r="E93" s="509">
        <v>150</v>
      </c>
      <c r="F93" s="509"/>
      <c r="G93" s="509"/>
      <c r="H93" s="509"/>
      <c r="I93" s="509"/>
      <c r="J93" s="509"/>
      <c r="K93" s="509"/>
      <c r="L93" s="509"/>
      <c r="M93" s="509"/>
    </row>
    <row r="94" spans="1:13" s="51" customFormat="1" ht="15.75">
      <c r="A94" s="508"/>
      <c r="B94" s="509" t="s">
        <v>1628</v>
      </c>
      <c r="C94" s="509">
        <v>150</v>
      </c>
      <c r="D94" s="509">
        <v>0</v>
      </c>
      <c r="E94" s="509">
        <v>150</v>
      </c>
      <c r="F94" s="509"/>
      <c r="G94" s="509"/>
      <c r="H94" s="509"/>
      <c r="I94" s="509"/>
      <c r="J94" s="509"/>
      <c r="K94" s="509"/>
      <c r="L94" s="509"/>
      <c r="M94" s="509"/>
    </row>
    <row r="95" spans="1:13" s="51" customFormat="1" ht="15.75">
      <c r="A95" s="508">
        <v>8</v>
      </c>
      <c r="B95" s="509" t="s">
        <v>1006</v>
      </c>
      <c r="C95" s="509">
        <v>60</v>
      </c>
      <c r="D95" s="509">
        <v>0</v>
      </c>
      <c r="E95" s="509">
        <v>60</v>
      </c>
      <c r="F95" s="509"/>
      <c r="G95" s="509"/>
      <c r="H95" s="509"/>
      <c r="I95" s="509"/>
      <c r="J95" s="509"/>
      <c r="K95" s="509"/>
      <c r="L95" s="509"/>
      <c r="M95" s="509"/>
    </row>
    <row r="96" spans="1:13" s="51" customFormat="1" ht="15.75">
      <c r="A96" s="508"/>
      <c r="B96" s="509" t="s">
        <v>1628</v>
      </c>
      <c r="C96" s="509">
        <v>40</v>
      </c>
      <c r="D96" s="509">
        <v>0</v>
      </c>
      <c r="E96" s="509">
        <v>40</v>
      </c>
      <c r="F96" s="509"/>
      <c r="G96" s="509"/>
      <c r="H96" s="509"/>
      <c r="I96" s="509"/>
      <c r="J96" s="509"/>
      <c r="K96" s="509"/>
      <c r="L96" s="509"/>
      <c r="M96" s="509"/>
    </row>
    <row r="97" spans="1:13" s="51" customFormat="1" ht="15.75">
      <c r="A97" s="508"/>
      <c r="B97" s="603" t="s">
        <v>1634</v>
      </c>
      <c r="C97" s="509">
        <v>20</v>
      </c>
      <c r="D97" s="603">
        <v>0</v>
      </c>
      <c r="E97" s="603">
        <v>20</v>
      </c>
      <c r="F97" s="603"/>
      <c r="G97" s="603"/>
      <c r="H97" s="603"/>
      <c r="I97" s="603"/>
      <c r="J97" s="603"/>
      <c r="K97" s="603"/>
      <c r="L97" s="603"/>
      <c r="M97" s="603"/>
    </row>
    <row r="98" spans="1:13" s="51" customFormat="1" ht="16.5">
      <c r="A98" s="506" t="s">
        <v>113</v>
      </c>
      <c r="B98" s="507" t="s">
        <v>1635</v>
      </c>
      <c r="C98" s="602">
        <v>12000</v>
      </c>
      <c r="D98" s="602">
        <v>0</v>
      </c>
      <c r="E98" s="602">
        <v>12000</v>
      </c>
      <c r="F98" s="602"/>
      <c r="G98" s="602"/>
      <c r="H98" s="602"/>
      <c r="I98" s="602"/>
      <c r="J98" s="602"/>
      <c r="K98" s="505"/>
      <c r="L98" s="505"/>
      <c r="M98" s="505"/>
    </row>
    <row r="99" spans="1:13" s="51" customFormat="1" ht="15.75">
      <c r="A99" s="508">
        <v>1</v>
      </c>
      <c r="B99" s="509" t="s">
        <v>1009</v>
      </c>
      <c r="C99" s="509">
        <v>4400</v>
      </c>
      <c r="D99" s="509">
        <v>0</v>
      </c>
      <c r="E99" s="509">
        <v>4400</v>
      </c>
      <c r="F99" s="509"/>
      <c r="G99" s="509"/>
      <c r="H99" s="509"/>
      <c r="I99" s="509"/>
      <c r="J99" s="509"/>
      <c r="K99" s="512"/>
      <c r="L99" s="509"/>
      <c r="M99" s="509"/>
    </row>
    <row r="100" spans="1:13" s="51" customFormat="1" ht="15.75">
      <c r="A100" s="508"/>
      <c r="B100" s="603" t="s">
        <v>1636</v>
      </c>
      <c r="C100" s="509">
        <v>700</v>
      </c>
      <c r="D100" s="603">
        <v>0</v>
      </c>
      <c r="E100" s="603">
        <v>700</v>
      </c>
      <c r="F100" s="603"/>
      <c r="G100" s="603"/>
      <c r="H100" s="603"/>
      <c r="I100" s="603"/>
      <c r="J100" s="603"/>
      <c r="K100" s="512"/>
      <c r="L100" s="603"/>
      <c r="M100" s="603"/>
    </row>
    <row r="101" spans="1:13" s="51" customFormat="1" ht="15.75">
      <c r="A101" s="508"/>
      <c r="B101" s="603" t="s">
        <v>1637</v>
      </c>
      <c r="C101" s="509">
        <v>3000</v>
      </c>
      <c r="D101" s="603">
        <v>0</v>
      </c>
      <c r="E101" s="603">
        <v>3000</v>
      </c>
      <c r="F101" s="603"/>
      <c r="G101" s="603"/>
      <c r="H101" s="603"/>
      <c r="I101" s="603"/>
      <c r="J101" s="603"/>
      <c r="K101" s="512"/>
      <c r="L101" s="603"/>
      <c r="M101" s="603"/>
    </row>
    <row r="102" spans="1:13" s="51" customFormat="1" ht="15.75">
      <c r="A102" s="508"/>
      <c r="B102" s="603" t="s">
        <v>1638</v>
      </c>
      <c r="C102" s="509">
        <v>700</v>
      </c>
      <c r="D102" s="603">
        <v>0</v>
      </c>
      <c r="E102" s="603">
        <v>700</v>
      </c>
      <c r="F102" s="603"/>
      <c r="G102" s="603"/>
      <c r="H102" s="603"/>
      <c r="I102" s="603"/>
      <c r="J102" s="603"/>
      <c r="K102" s="512"/>
      <c r="L102" s="603"/>
      <c r="M102" s="603"/>
    </row>
    <row r="103" spans="1:13" s="51" customFormat="1" ht="15.75">
      <c r="A103" s="508">
        <v>2</v>
      </c>
      <c r="B103" s="509" t="s">
        <v>1010</v>
      </c>
      <c r="C103" s="509">
        <v>7600</v>
      </c>
      <c r="D103" s="509">
        <v>0</v>
      </c>
      <c r="E103" s="509">
        <v>7600</v>
      </c>
      <c r="F103" s="509"/>
      <c r="G103" s="509"/>
      <c r="H103" s="509"/>
      <c r="I103" s="509"/>
      <c r="J103" s="509"/>
      <c r="K103" s="512"/>
      <c r="L103" s="509"/>
      <c r="M103" s="509"/>
    </row>
    <row r="104" spans="1:13" s="606" customFormat="1" ht="15.75">
      <c r="A104" s="604" t="s">
        <v>16</v>
      </c>
      <c r="B104" s="605" t="s">
        <v>1639</v>
      </c>
      <c r="C104" s="501">
        <v>11181</v>
      </c>
      <c r="D104" s="501">
        <v>0</v>
      </c>
      <c r="E104" s="501">
        <v>11181</v>
      </c>
      <c r="F104" s="501"/>
      <c r="G104" s="501"/>
      <c r="H104" s="501"/>
      <c r="I104" s="501"/>
      <c r="J104" s="501"/>
      <c r="K104" s="501"/>
      <c r="L104" s="501"/>
      <c r="M104" s="501"/>
    </row>
    <row r="105" spans="1:13" s="51" customFormat="1" ht="15.75">
      <c r="A105" s="506" t="s">
        <v>83</v>
      </c>
      <c r="B105" s="507" t="s">
        <v>1640</v>
      </c>
      <c r="C105" s="505">
        <v>10319</v>
      </c>
      <c r="D105" s="505">
        <v>0</v>
      </c>
      <c r="E105" s="505">
        <v>10319</v>
      </c>
      <c r="F105" s="505"/>
      <c r="G105" s="505"/>
      <c r="H105" s="505"/>
      <c r="I105" s="505"/>
      <c r="J105" s="505"/>
      <c r="K105" s="505"/>
      <c r="L105" s="505"/>
      <c r="M105" s="505"/>
    </row>
    <row r="106" spans="1:13" s="51" customFormat="1" ht="15.75">
      <c r="A106" s="508">
        <v>1</v>
      </c>
      <c r="B106" s="509" t="s">
        <v>1641</v>
      </c>
      <c r="C106" s="509">
        <v>1686</v>
      </c>
      <c r="D106" s="509">
        <v>0</v>
      </c>
      <c r="E106" s="509">
        <v>1686</v>
      </c>
      <c r="F106" s="509"/>
      <c r="G106" s="509"/>
      <c r="H106" s="509"/>
      <c r="I106" s="509"/>
      <c r="J106" s="509"/>
      <c r="K106" s="509"/>
      <c r="L106" s="509"/>
      <c r="M106" s="509"/>
    </row>
    <row r="107" spans="1:13" s="51" customFormat="1" ht="15.75">
      <c r="A107" s="508">
        <v>2</v>
      </c>
      <c r="B107" s="509" t="s">
        <v>1642</v>
      </c>
      <c r="C107" s="509">
        <v>1261</v>
      </c>
      <c r="D107" s="509">
        <v>0</v>
      </c>
      <c r="E107" s="509">
        <v>1261</v>
      </c>
      <c r="F107" s="509"/>
      <c r="G107" s="509"/>
      <c r="H107" s="509"/>
      <c r="I107" s="509"/>
      <c r="J107" s="509"/>
      <c r="K107" s="509"/>
      <c r="L107" s="509"/>
      <c r="M107" s="509"/>
    </row>
    <row r="108" spans="1:13" s="51" customFormat="1" ht="15.75">
      <c r="A108" s="508">
        <v>3</v>
      </c>
      <c r="B108" s="509" t="s">
        <v>1029</v>
      </c>
      <c r="C108" s="509">
        <v>603</v>
      </c>
      <c r="D108" s="509">
        <v>0</v>
      </c>
      <c r="E108" s="509">
        <v>603</v>
      </c>
      <c r="F108" s="509"/>
      <c r="G108" s="509"/>
      <c r="H108" s="509"/>
      <c r="I108" s="509"/>
      <c r="J108" s="509"/>
      <c r="K108" s="509"/>
      <c r="L108" s="509"/>
      <c r="M108" s="509"/>
    </row>
    <row r="109" spans="1:13" s="51" customFormat="1" ht="15.75">
      <c r="A109" s="508">
        <v>4</v>
      </c>
      <c r="B109" s="509" t="s">
        <v>1643</v>
      </c>
      <c r="C109" s="509">
        <v>935</v>
      </c>
      <c r="D109" s="509">
        <v>0</v>
      </c>
      <c r="E109" s="509">
        <v>935</v>
      </c>
      <c r="F109" s="509"/>
      <c r="G109" s="509"/>
      <c r="H109" s="509"/>
      <c r="I109" s="509"/>
      <c r="J109" s="509"/>
      <c r="K109" s="509"/>
      <c r="L109" s="509"/>
      <c r="M109" s="509"/>
    </row>
    <row r="110" spans="1:13" s="51" customFormat="1" ht="15.75">
      <c r="A110" s="508">
        <v>5</v>
      </c>
      <c r="B110" s="509" t="s">
        <v>1644</v>
      </c>
      <c r="C110" s="509">
        <v>1449</v>
      </c>
      <c r="D110" s="509">
        <v>0</v>
      </c>
      <c r="E110" s="509">
        <v>1449</v>
      </c>
      <c r="F110" s="509"/>
      <c r="G110" s="509"/>
      <c r="H110" s="509"/>
      <c r="I110" s="509"/>
      <c r="J110" s="509"/>
      <c r="K110" s="509"/>
      <c r="L110" s="509"/>
      <c r="M110" s="509"/>
    </row>
    <row r="111" spans="1:13" s="51" customFormat="1" ht="15.75">
      <c r="A111" s="508">
        <v>6</v>
      </c>
      <c r="B111" s="509" t="s">
        <v>1645</v>
      </c>
      <c r="C111" s="509">
        <v>519</v>
      </c>
      <c r="D111" s="509">
        <v>0</v>
      </c>
      <c r="E111" s="509">
        <v>519</v>
      </c>
      <c r="F111" s="509"/>
      <c r="G111" s="509"/>
      <c r="H111" s="509"/>
      <c r="I111" s="509"/>
      <c r="J111" s="509"/>
      <c r="K111" s="509"/>
      <c r="L111" s="509"/>
      <c r="M111" s="509"/>
    </row>
    <row r="112" spans="1:13" s="51" customFormat="1" ht="15.75">
      <c r="A112" s="508">
        <v>7</v>
      </c>
      <c r="B112" s="509" t="s">
        <v>1034</v>
      </c>
      <c r="C112" s="509">
        <v>1389</v>
      </c>
      <c r="D112" s="509">
        <v>0</v>
      </c>
      <c r="E112" s="509">
        <v>1389</v>
      </c>
      <c r="F112" s="509"/>
      <c r="G112" s="509"/>
      <c r="H112" s="509"/>
      <c r="I112" s="509"/>
      <c r="J112" s="509"/>
      <c r="K112" s="509"/>
      <c r="L112" s="509"/>
      <c r="M112" s="509"/>
    </row>
    <row r="113" spans="1:13" s="51" customFormat="1" ht="15.75">
      <c r="A113" s="508">
        <v>8</v>
      </c>
      <c r="B113" s="509" t="s">
        <v>1646</v>
      </c>
      <c r="C113" s="509">
        <v>503</v>
      </c>
      <c r="D113" s="509">
        <v>0</v>
      </c>
      <c r="E113" s="509">
        <v>503</v>
      </c>
      <c r="F113" s="509"/>
      <c r="G113" s="509"/>
      <c r="H113" s="509"/>
      <c r="I113" s="509"/>
      <c r="J113" s="509"/>
      <c r="K113" s="509"/>
      <c r="L113" s="509"/>
      <c r="M113" s="509"/>
    </row>
    <row r="114" spans="1:13" s="51" customFormat="1" ht="15.75">
      <c r="A114" s="508">
        <v>9</v>
      </c>
      <c r="B114" s="509" t="s">
        <v>1647</v>
      </c>
      <c r="C114" s="509">
        <v>251</v>
      </c>
      <c r="D114" s="509">
        <v>0</v>
      </c>
      <c r="E114" s="509">
        <v>251</v>
      </c>
      <c r="F114" s="509"/>
      <c r="G114" s="509"/>
      <c r="H114" s="509"/>
      <c r="I114" s="509"/>
      <c r="J114" s="509"/>
      <c r="K114" s="509"/>
      <c r="L114" s="509"/>
      <c r="M114" s="509"/>
    </row>
    <row r="115" spans="1:13" s="51" customFormat="1" ht="15.75">
      <c r="A115" s="508">
        <v>10</v>
      </c>
      <c r="B115" s="509" t="s">
        <v>1648</v>
      </c>
      <c r="C115" s="509">
        <v>532</v>
      </c>
      <c r="D115" s="509">
        <v>0</v>
      </c>
      <c r="E115" s="509">
        <v>532</v>
      </c>
      <c r="F115" s="509"/>
      <c r="G115" s="509"/>
      <c r="H115" s="509"/>
      <c r="I115" s="509"/>
      <c r="J115" s="509"/>
      <c r="K115" s="509"/>
      <c r="L115" s="509"/>
      <c r="M115" s="509"/>
    </row>
    <row r="116" spans="1:13" s="51" customFormat="1" ht="15.75">
      <c r="A116" s="508">
        <v>11</v>
      </c>
      <c r="B116" s="509" t="s">
        <v>1649</v>
      </c>
      <c r="C116" s="509">
        <v>325</v>
      </c>
      <c r="D116" s="509">
        <v>0</v>
      </c>
      <c r="E116" s="509">
        <v>325</v>
      </c>
      <c r="F116" s="509"/>
      <c r="G116" s="509"/>
      <c r="H116" s="509"/>
      <c r="I116" s="509"/>
      <c r="J116" s="509"/>
      <c r="K116" s="509"/>
      <c r="L116" s="509"/>
      <c r="M116" s="509"/>
    </row>
    <row r="117" spans="1:13" s="51" customFormat="1" ht="15.75">
      <c r="A117" s="508">
        <v>12</v>
      </c>
      <c r="B117" s="509" t="s">
        <v>1650</v>
      </c>
      <c r="C117" s="509">
        <v>246</v>
      </c>
      <c r="D117" s="509">
        <v>0</v>
      </c>
      <c r="E117" s="509">
        <v>246</v>
      </c>
      <c r="F117" s="509"/>
      <c r="G117" s="509"/>
      <c r="H117" s="509"/>
      <c r="I117" s="509"/>
      <c r="J117" s="509"/>
      <c r="K117" s="509"/>
      <c r="L117" s="509"/>
      <c r="M117" s="509"/>
    </row>
    <row r="118" spans="1:13" s="51" customFormat="1" ht="15.75">
      <c r="A118" s="508">
        <v>13</v>
      </c>
      <c r="B118" s="509" t="s">
        <v>1040</v>
      </c>
      <c r="C118" s="509">
        <v>620</v>
      </c>
      <c r="D118" s="509">
        <v>0</v>
      </c>
      <c r="E118" s="509">
        <v>620</v>
      </c>
      <c r="F118" s="509"/>
      <c r="G118" s="509"/>
      <c r="H118" s="509"/>
      <c r="I118" s="509"/>
      <c r="J118" s="509"/>
      <c r="K118" s="509"/>
      <c r="L118" s="509"/>
      <c r="M118" s="509"/>
    </row>
    <row r="119" spans="1:13" s="51" customFormat="1" ht="16.5">
      <c r="A119" s="506" t="s">
        <v>70</v>
      </c>
      <c r="B119" s="507" t="s">
        <v>1651</v>
      </c>
      <c r="C119" s="602">
        <v>862</v>
      </c>
      <c r="D119" s="602">
        <v>0</v>
      </c>
      <c r="E119" s="602">
        <v>862</v>
      </c>
      <c r="F119" s="602"/>
      <c r="G119" s="602"/>
      <c r="H119" s="602"/>
      <c r="I119" s="602"/>
      <c r="J119" s="602"/>
      <c r="K119" s="602"/>
      <c r="L119" s="602"/>
      <c r="M119" s="602"/>
    </row>
    <row r="120" spans="1:13" s="51" customFormat="1" ht="15.75">
      <c r="A120" s="508">
        <v>1</v>
      </c>
      <c r="B120" s="509" t="s">
        <v>1652</v>
      </c>
      <c r="C120" s="509">
        <v>234</v>
      </c>
      <c r="D120" s="509">
        <v>0</v>
      </c>
      <c r="E120" s="509">
        <v>234</v>
      </c>
      <c r="F120" s="509"/>
      <c r="G120" s="509"/>
      <c r="H120" s="509"/>
      <c r="I120" s="509"/>
      <c r="J120" s="509"/>
      <c r="K120" s="509"/>
      <c r="L120" s="509"/>
      <c r="M120" s="509"/>
    </row>
    <row r="121" spans="1:13" s="51" customFormat="1" ht="15.75">
      <c r="A121" s="508">
        <v>2</v>
      </c>
      <c r="B121" s="509" t="s">
        <v>1653</v>
      </c>
      <c r="C121" s="509">
        <v>202</v>
      </c>
      <c r="D121" s="509">
        <v>0</v>
      </c>
      <c r="E121" s="509">
        <v>202</v>
      </c>
      <c r="F121" s="509"/>
      <c r="G121" s="509"/>
      <c r="H121" s="509"/>
      <c r="I121" s="509"/>
      <c r="J121" s="509"/>
      <c r="K121" s="509"/>
      <c r="L121" s="509"/>
      <c r="M121" s="509"/>
    </row>
    <row r="122" spans="1:13" s="51" customFormat="1" ht="15.75">
      <c r="A122" s="508">
        <v>3</v>
      </c>
      <c r="B122" s="509" t="s">
        <v>1654</v>
      </c>
      <c r="C122" s="509">
        <v>426</v>
      </c>
      <c r="D122" s="509">
        <v>0</v>
      </c>
      <c r="E122" s="509">
        <v>426</v>
      </c>
      <c r="F122" s="509"/>
      <c r="G122" s="509"/>
      <c r="H122" s="509"/>
      <c r="I122" s="509"/>
      <c r="J122" s="509"/>
      <c r="K122" s="509"/>
      <c r="L122" s="509"/>
      <c r="M122" s="509"/>
    </row>
    <row r="123" spans="1:13" s="606" customFormat="1" ht="15.75">
      <c r="A123" s="604" t="s">
        <v>79</v>
      </c>
      <c r="B123" s="605" t="s">
        <v>1655</v>
      </c>
      <c r="C123" s="501">
        <v>1115640</v>
      </c>
      <c r="D123" s="501">
        <v>0</v>
      </c>
      <c r="E123" s="501">
        <v>1115640</v>
      </c>
      <c r="F123" s="501"/>
      <c r="G123" s="501"/>
      <c r="H123" s="501"/>
      <c r="I123" s="501"/>
      <c r="J123" s="501"/>
      <c r="K123" s="501"/>
      <c r="L123" s="501"/>
      <c r="M123" s="501"/>
    </row>
    <row r="124" spans="1:13" s="51" customFormat="1" ht="16.5">
      <c r="A124" s="506" t="s">
        <v>83</v>
      </c>
      <c r="B124" s="507" t="s">
        <v>1369</v>
      </c>
      <c r="C124" s="602">
        <v>177764</v>
      </c>
      <c r="D124" s="602">
        <v>0</v>
      </c>
      <c r="E124" s="602">
        <v>177764</v>
      </c>
      <c r="F124" s="602"/>
      <c r="G124" s="602"/>
      <c r="H124" s="602"/>
      <c r="I124" s="602"/>
      <c r="J124" s="602"/>
      <c r="K124" s="602"/>
      <c r="L124" s="602"/>
      <c r="M124" s="602"/>
    </row>
    <row r="125" spans="1:13" s="51" customFormat="1" ht="16.5">
      <c r="A125" s="506"/>
      <c r="B125" s="507" t="s">
        <v>1370</v>
      </c>
      <c r="C125" s="602">
        <v>51173</v>
      </c>
      <c r="D125" s="602">
        <v>0</v>
      </c>
      <c r="E125" s="602">
        <v>51173</v>
      </c>
      <c r="F125" s="602"/>
      <c r="G125" s="602"/>
      <c r="H125" s="602"/>
      <c r="I125" s="602"/>
      <c r="J125" s="602"/>
      <c r="K125" s="602"/>
      <c r="L125" s="602"/>
      <c r="M125" s="602"/>
    </row>
    <row r="126" spans="1:13" s="51" customFormat="1" ht="15.75">
      <c r="A126" s="508">
        <v>1</v>
      </c>
      <c r="B126" s="509" t="s">
        <v>1656</v>
      </c>
      <c r="C126" s="509">
        <v>3400</v>
      </c>
      <c r="D126" s="509">
        <v>0</v>
      </c>
      <c r="E126" s="509">
        <v>3400</v>
      </c>
      <c r="F126" s="509"/>
      <c r="G126" s="509"/>
      <c r="H126" s="509"/>
      <c r="I126" s="509"/>
      <c r="J126" s="509"/>
      <c r="K126" s="509"/>
      <c r="L126" s="509"/>
      <c r="M126" s="509"/>
    </row>
    <row r="127" spans="1:13" s="51" customFormat="1" ht="15.75">
      <c r="A127" s="508">
        <v>2</v>
      </c>
      <c r="B127" s="509" t="s">
        <v>1657</v>
      </c>
      <c r="C127" s="509">
        <v>7000</v>
      </c>
      <c r="D127" s="509">
        <v>0</v>
      </c>
      <c r="E127" s="509">
        <v>7000</v>
      </c>
      <c r="F127" s="509"/>
      <c r="G127" s="509"/>
      <c r="H127" s="509"/>
      <c r="I127" s="509"/>
      <c r="J127" s="509"/>
      <c r="K127" s="509"/>
      <c r="L127" s="509"/>
      <c r="M127" s="509"/>
    </row>
    <row r="128" spans="1:13" s="51" customFormat="1" ht="15.75">
      <c r="A128" s="508">
        <v>3</v>
      </c>
      <c r="B128" s="509" t="s">
        <v>1658</v>
      </c>
      <c r="C128" s="509">
        <v>10000</v>
      </c>
      <c r="D128" s="509">
        <v>0</v>
      </c>
      <c r="E128" s="509">
        <v>10000</v>
      </c>
      <c r="F128" s="509"/>
      <c r="G128" s="509"/>
      <c r="H128" s="509"/>
      <c r="I128" s="509"/>
      <c r="J128" s="509"/>
      <c r="K128" s="509"/>
      <c r="L128" s="509"/>
      <c r="M128" s="509"/>
    </row>
    <row r="129" spans="1:13" s="51" customFormat="1" ht="15.75">
      <c r="A129" s="508">
        <v>4</v>
      </c>
      <c r="B129" s="509" t="s">
        <v>1659</v>
      </c>
      <c r="C129" s="509">
        <v>10000</v>
      </c>
      <c r="D129" s="509">
        <v>0</v>
      </c>
      <c r="E129" s="509">
        <v>10000</v>
      </c>
      <c r="F129" s="509"/>
      <c r="G129" s="509"/>
      <c r="H129" s="509"/>
      <c r="I129" s="509"/>
      <c r="J129" s="509"/>
      <c r="K129" s="509"/>
      <c r="L129" s="509"/>
      <c r="M129" s="509"/>
    </row>
    <row r="130" spans="1:13" s="51" customFormat="1" ht="15.75">
      <c r="A130" s="508">
        <v>5</v>
      </c>
      <c r="B130" s="509" t="s">
        <v>1371</v>
      </c>
      <c r="C130" s="509">
        <v>8044</v>
      </c>
      <c r="D130" s="509">
        <v>0</v>
      </c>
      <c r="E130" s="509">
        <v>8044</v>
      </c>
      <c r="F130" s="509"/>
      <c r="G130" s="509"/>
      <c r="H130" s="509"/>
      <c r="I130" s="509"/>
      <c r="J130" s="509"/>
      <c r="K130" s="509"/>
      <c r="L130" s="509"/>
      <c r="M130" s="509"/>
    </row>
    <row r="131" spans="1:13" s="51" customFormat="1" ht="15.75">
      <c r="A131" s="508">
        <v>6</v>
      </c>
      <c r="B131" s="509" t="s">
        <v>1660</v>
      </c>
      <c r="C131" s="509">
        <v>11962</v>
      </c>
      <c r="D131" s="509">
        <v>0</v>
      </c>
      <c r="E131" s="509">
        <v>11962</v>
      </c>
      <c r="F131" s="509"/>
      <c r="G131" s="509"/>
      <c r="H131" s="509"/>
      <c r="I131" s="509"/>
      <c r="J131" s="509"/>
      <c r="K131" s="509"/>
      <c r="L131" s="509"/>
      <c r="M131" s="509"/>
    </row>
    <row r="132" spans="1:13" s="51" customFormat="1" ht="15.75">
      <c r="A132" s="508">
        <v>7</v>
      </c>
      <c r="B132" s="509" t="s">
        <v>1373</v>
      </c>
      <c r="C132" s="509">
        <v>767</v>
      </c>
      <c r="D132" s="509">
        <v>0</v>
      </c>
      <c r="E132" s="509">
        <v>767</v>
      </c>
      <c r="F132" s="509"/>
      <c r="G132" s="509"/>
      <c r="H132" s="509"/>
      <c r="I132" s="509"/>
      <c r="J132" s="509"/>
      <c r="K132" s="509"/>
      <c r="L132" s="509"/>
      <c r="M132" s="509"/>
    </row>
    <row r="133" spans="1:13" s="51" customFormat="1" ht="16.5">
      <c r="A133" s="506"/>
      <c r="B133" s="507" t="s">
        <v>1374</v>
      </c>
      <c r="C133" s="602">
        <v>5733</v>
      </c>
      <c r="D133" s="602">
        <v>0</v>
      </c>
      <c r="E133" s="602">
        <v>5733</v>
      </c>
      <c r="F133" s="602"/>
      <c r="G133" s="602"/>
      <c r="H133" s="602"/>
      <c r="I133" s="602"/>
      <c r="J133" s="602"/>
      <c r="K133" s="602"/>
      <c r="L133" s="602"/>
      <c r="M133" s="602"/>
    </row>
    <row r="134" spans="1:13" s="51" customFormat="1" ht="15.75">
      <c r="A134" s="508">
        <v>1</v>
      </c>
      <c r="B134" s="509" t="s">
        <v>1661</v>
      </c>
      <c r="C134" s="509">
        <v>5033</v>
      </c>
      <c r="D134" s="509">
        <v>0</v>
      </c>
      <c r="E134" s="509">
        <v>5033</v>
      </c>
      <c r="F134" s="509"/>
      <c r="G134" s="509"/>
      <c r="H134" s="509"/>
      <c r="I134" s="509"/>
      <c r="J134" s="509"/>
      <c r="K134" s="509"/>
      <c r="L134" s="509"/>
      <c r="M134" s="509"/>
    </row>
    <row r="135" spans="1:13" s="51" customFormat="1" ht="15.75">
      <c r="A135" s="508">
        <v>2</v>
      </c>
      <c r="B135" s="509" t="s">
        <v>1375</v>
      </c>
      <c r="C135" s="509">
        <v>0</v>
      </c>
      <c r="D135" s="509">
        <v>0</v>
      </c>
      <c r="E135" s="509">
        <v>0</v>
      </c>
      <c r="F135" s="509"/>
      <c r="G135" s="509"/>
      <c r="H135" s="509"/>
      <c r="I135" s="509"/>
      <c r="J135" s="509"/>
      <c r="K135" s="509"/>
      <c r="L135" s="509"/>
      <c r="M135" s="509"/>
    </row>
    <row r="136" spans="1:13" s="51" customFormat="1" ht="15.75">
      <c r="A136" s="508">
        <v>3</v>
      </c>
      <c r="B136" s="509" t="s">
        <v>1662</v>
      </c>
      <c r="C136" s="509">
        <v>700</v>
      </c>
      <c r="D136" s="509">
        <v>0</v>
      </c>
      <c r="E136" s="509">
        <v>700</v>
      </c>
      <c r="F136" s="509"/>
      <c r="G136" s="509"/>
      <c r="H136" s="509"/>
      <c r="I136" s="509"/>
      <c r="J136" s="509"/>
      <c r="K136" s="509"/>
      <c r="L136" s="509"/>
      <c r="M136" s="509"/>
    </row>
    <row r="137" spans="1:13" s="51" customFormat="1" ht="15.75">
      <c r="A137" s="506"/>
      <c r="B137" s="607" t="s">
        <v>1663</v>
      </c>
      <c r="C137" s="507">
        <v>75000</v>
      </c>
      <c r="D137" s="607">
        <v>0</v>
      </c>
      <c r="E137" s="607">
        <v>75000</v>
      </c>
      <c r="F137" s="607"/>
      <c r="G137" s="607"/>
      <c r="H137" s="607"/>
      <c r="I137" s="607"/>
      <c r="J137" s="607"/>
      <c r="K137" s="271"/>
      <c r="L137" s="607"/>
      <c r="M137" s="607"/>
    </row>
    <row r="138" spans="1:13" s="51" customFormat="1" ht="15.75">
      <c r="A138" s="506"/>
      <c r="B138" s="607" t="s">
        <v>1664</v>
      </c>
      <c r="C138" s="507">
        <v>10000</v>
      </c>
      <c r="D138" s="607">
        <v>0</v>
      </c>
      <c r="E138" s="607">
        <v>10000</v>
      </c>
      <c r="F138" s="607"/>
      <c r="G138" s="607"/>
      <c r="H138" s="607"/>
      <c r="I138" s="607"/>
      <c r="J138" s="607"/>
      <c r="K138" s="607"/>
      <c r="L138" s="607"/>
      <c r="M138" s="607"/>
    </row>
    <row r="139" spans="1:13" s="51" customFormat="1" ht="15.75">
      <c r="A139" s="506"/>
      <c r="B139" s="514" t="s">
        <v>1376</v>
      </c>
      <c r="C139" s="505">
        <v>35858</v>
      </c>
      <c r="D139" s="505">
        <v>0</v>
      </c>
      <c r="E139" s="505">
        <v>35858</v>
      </c>
      <c r="F139" s="505"/>
      <c r="G139" s="505"/>
      <c r="H139" s="505"/>
      <c r="I139" s="505"/>
      <c r="J139" s="505"/>
      <c r="K139" s="505"/>
      <c r="L139" s="505"/>
      <c r="M139" s="505"/>
    </row>
    <row r="140" spans="1:13" s="51" customFormat="1" ht="15.75">
      <c r="A140" s="508">
        <v>1</v>
      </c>
      <c r="B140" s="509" t="s">
        <v>1665</v>
      </c>
      <c r="C140" s="509">
        <v>20000</v>
      </c>
      <c r="D140" s="509">
        <v>0</v>
      </c>
      <c r="E140" s="509">
        <v>20000</v>
      </c>
      <c r="F140" s="509"/>
      <c r="G140" s="509"/>
      <c r="H140" s="509"/>
      <c r="I140" s="509"/>
      <c r="J140" s="509"/>
      <c r="K140" s="509"/>
      <c r="L140" s="509"/>
      <c r="M140" s="509"/>
    </row>
    <row r="141" spans="1:13" s="51" customFormat="1" ht="15.75">
      <c r="A141" s="508">
        <v>2</v>
      </c>
      <c r="B141" s="509" t="s">
        <v>1666</v>
      </c>
      <c r="C141" s="509">
        <v>2600</v>
      </c>
      <c r="D141" s="509">
        <v>0</v>
      </c>
      <c r="E141" s="509">
        <v>2600</v>
      </c>
      <c r="F141" s="509"/>
      <c r="G141" s="509"/>
      <c r="H141" s="509"/>
      <c r="I141" s="509"/>
      <c r="J141" s="509"/>
      <c r="K141" s="509"/>
      <c r="L141" s="509"/>
      <c r="M141" s="509"/>
    </row>
    <row r="142" spans="1:13" s="51" customFormat="1" ht="15.75">
      <c r="A142" s="508">
        <v>3</v>
      </c>
      <c r="B142" s="509" t="s">
        <v>1667</v>
      </c>
      <c r="C142" s="509">
        <v>637</v>
      </c>
      <c r="D142" s="509">
        <v>0</v>
      </c>
      <c r="E142" s="509">
        <v>637</v>
      </c>
      <c r="F142" s="509"/>
      <c r="G142" s="509"/>
      <c r="H142" s="509"/>
      <c r="I142" s="509"/>
      <c r="J142" s="509"/>
      <c r="K142" s="509"/>
      <c r="L142" s="509"/>
      <c r="M142" s="509"/>
    </row>
    <row r="143" spans="1:13" s="51" customFormat="1" ht="15.75">
      <c r="A143" s="508">
        <v>4</v>
      </c>
      <c r="B143" s="509" t="s">
        <v>1668</v>
      </c>
      <c r="C143" s="509">
        <v>1799</v>
      </c>
      <c r="D143" s="509">
        <v>0</v>
      </c>
      <c r="E143" s="509">
        <v>1799</v>
      </c>
      <c r="F143" s="509"/>
      <c r="G143" s="509"/>
      <c r="H143" s="509"/>
      <c r="I143" s="509"/>
      <c r="J143" s="509"/>
      <c r="K143" s="509"/>
      <c r="L143" s="509"/>
      <c r="M143" s="509"/>
    </row>
    <row r="144" spans="1:13" s="51" customFormat="1" ht="15.75">
      <c r="A144" s="508">
        <v>5</v>
      </c>
      <c r="B144" s="509" t="s">
        <v>1377</v>
      </c>
      <c r="C144" s="509">
        <v>638</v>
      </c>
      <c r="D144" s="509">
        <v>0</v>
      </c>
      <c r="E144" s="509">
        <v>638</v>
      </c>
      <c r="F144" s="509"/>
      <c r="G144" s="509"/>
      <c r="H144" s="509"/>
      <c r="I144" s="509"/>
      <c r="J144" s="509"/>
      <c r="K144" s="509"/>
      <c r="L144" s="509"/>
      <c r="M144" s="509"/>
    </row>
    <row r="145" spans="1:13" s="51" customFormat="1" ht="15.75">
      <c r="A145" s="508">
        <v>6</v>
      </c>
      <c r="B145" s="509" t="s">
        <v>1378</v>
      </c>
      <c r="C145" s="509">
        <v>2376</v>
      </c>
      <c r="D145" s="509">
        <v>0</v>
      </c>
      <c r="E145" s="509">
        <v>2376</v>
      </c>
      <c r="F145" s="509"/>
      <c r="G145" s="509"/>
      <c r="H145" s="509"/>
      <c r="I145" s="509"/>
      <c r="J145" s="509"/>
      <c r="K145" s="509"/>
      <c r="L145" s="509"/>
      <c r="M145" s="509"/>
    </row>
    <row r="146" spans="1:13" s="51" customFormat="1" ht="15.75">
      <c r="A146" s="508">
        <v>7</v>
      </c>
      <c r="B146" s="509" t="s">
        <v>1379</v>
      </c>
      <c r="C146" s="509">
        <v>800</v>
      </c>
      <c r="D146" s="509">
        <v>0</v>
      </c>
      <c r="E146" s="509">
        <v>800</v>
      </c>
      <c r="F146" s="509"/>
      <c r="G146" s="509"/>
      <c r="H146" s="509"/>
      <c r="I146" s="509"/>
      <c r="J146" s="509"/>
      <c r="K146" s="509"/>
      <c r="L146" s="509"/>
      <c r="M146" s="509"/>
    </row>
    <row r="147" spans="1:13" s="51" customFormat="1" ht="15.75">
      <c r="A147" s="508">
        <v>8</v>
      </c>
      <c r="B147" s="509" t="s">
        <v>1669</v>
      </c>
      <c r="C147" s="509">
        <v>1160</v>
      </c>
      <c r="D147" s="509">
        <v>0</v>
      </c>
      <c r="E147" s="509">
        <v>1160</v>
      </c>
      <c r="F147" s="509"/>
      <c r="G147" s="509"/>
      <c r="H147" s="509"/>
      <c r="I147" s="509"/>
      <c r="J147" s="509"/>
      <c r="K147" s="509"/>
      <c r="L147" s="509"/>
      <c r="M147" s="509"/>
    </row>
    <row r="148" spans="1:13" s="51" customFormat="1" ht="15.75">
      <c r="A148" s="508">
        <v>9</v>
      </c>
      <c r="B148" s="509" t="s">
        <v>1380</v>
      </c>
      <c r="C148" s="509">
        <v>1007</v>
      </c>
      <c r="D148" s="509">
        <v>0</v>
      </c>
      <c r="E148" s="509">
        <v>1007</v>
      </c>
      <c r="F148" s="509"/>
      <c r="G148" s="509"/>
      <c r="H148" s="509"/>
      <c r="I148" s="509"/>
      <c r="J148" s="509"/>
      <c r="K148" s="509"/>
      <c r="L148" s="509"/>
      <c r="M148" s="509"/>
    </row>
    <row r="149" spans="1:13" s="51" customFormat="1" ht="15.75">
      <c r="A149" s="508">
        <v>10</v>
      </c>
      <c r="B149" s="509" t="s">
        <v>1670</v>
      </c>
      <c r="C149" s="509">
        <v>0</v>
      </c>
      <c r="D149" s="509">
        <v>0</v>
      </c>
      <c r="E149" s="509">
        <v>0</v>
      </c>
      <c r="F149" s="509"/>
      <c r="G149" s="509"/>
      <c r="H149" s="509"/>
      <c r="I149" s="509"/>
      <c r="J149" s="509"/>
      <c r="K149" s="509"/>
      <c r="L149" s="509"/>
      <c r="M149" s="509"/>
    </row>
    <row r="150" spans="1:13" s="51" customFormat="1" ht="15.75">
      <c r="A150" s="508">
        <v>11</v>
      </c>
      <c r="B150" s="509" t="s">
        <v>1381</v>
      </c>
      <c r="C150" s="509">
        <v>919</v>
      </c>
      <c r="D150" s="509">
        <v>0</v>
      </c>
      <c r="E150" s="509">
        <v>919</v>
      </c>
      <c r="F150" s="509"/>
      <c r="G150" s="509"/>
      <c r="H150" s="509"/>
      <c r="I150" s="509"/>
      <c r="J150" s="509"/>
      <c r="K150" s="509"/>
      <c r="L150" s="509"/>
      <c r="M150" s="509"/>
    </row>
    <row r="151" spans="1:13" s="51" customFormat="1" ht="15.75">
      <c r="A151" s="508">
        <v>12</v>
      </c>
      <c r="B151" s="509" t="s">
        <v>1671</v>
      </c>
      <c r="C151" s="509">
        <v>846</v>
      </c>
      <c r="D151" s="509">
        <v>0</v>
      </c>
      <c r="E151" s="509">
        <v>846</v>
      </c>
      <c r="F151" s="509"/>
      <c r="G151" s="509"/>
      <c r="H151" s="509"/>
      <c r="I151" s="509"/>
      <c r="J151" s="509"/>
      <c r="K151" s="509"/>
      <c r="L151" s="509"/>
      <c r="M151" s="509"/>
    </row>
    <row r="152" spans="1:13" s="51" customFormat="1" ht="15.75">
      <c r="A152" s="508">
        <v>13</v>
      </c>
      <c r="B152" s="509" t="s">
        <v>1672</v>
      </c>
      <c r="C152" s="509">
        <v>0</v>
      </c>
      <c r="D152" s="509">
        <v>0</v>
      </c>
      <c r="E152" s="509">
        <v>0</v>
      </c>
      <c r="F152" s="509"/>
      <c r="G152" s="509"/>
      <c r="H152" s="509"/>
      <c r="I152" s="509"/>
      <c r="J152" s="509"/>
      <c r="K152" s="509"/>
      <c r="L152" s="509"/>
      <c r="M152" s="509"/>
    </row>
    <row r="153" spans="1:13" s="51" customFormat="1" ht="15.75">
      <c r="A153" s="508">
        <v>14</v>
      </c>
      <c r="B153" s="509" t="s">
        <v>1673</v>
      </c>
      <c r="C153" s="509">
        <v>356</v>
      </c>
      <c r="D153" s="509">
        <v>0</v>
      </c>
      <c r="E153" s="509">
        <v>356</v>
      </c>
      <c r="F153" s="509"/>
      <c r="G153" s="509"/>
      <c r="H153" s="509"/>
      <c r="I153" s="509"/>
      <c r="J153" s="509"/>
      <c r="K153" s="509"/>
      <c r="L153" s="509"/>
      <c r="M153" s="509"/>
    </row>
    <row r="154" spans="1:13" s="51" customFormat="1" ht="15.75">
      <c r="A154" s="508">
        <v>15</v>
      </c>
      <c r="B154" s="509" t="s">
        <v>1382</v>
      </c>
      <c r="C154" s="509">
        <v>700</v>
      </c>
      <c r="D154" s="509">
        <v>0</v>
      </c>
      <c r="E154" s="509">
        <v>700</v>
      </c>
      <c r="F154" s="509"/>
      <c r="G154" s="509"/>
      <c r="H154" s="509"/>
      <c r="I154" s="509"/>
      <c r="J154" s="509"/>
      <c r="K154" s="509"/>
      <c r="L154" s="509"/>
      <c r="M154" s="509"/>
    </row>
    <row r="155" spans="1:13" s="51" customFormat="1" ht="15.75">
      <c r="A155" s="508">
        <v>16</v>
      </c>
      <c r="B155" s="509" t="s">
        <v>1383</v>
      </c>
      <c r="C155" s="509">
        <v>1020</v>
      </c>
      <c r="D155" s="509">
        <v>0</v>
      </c>
      <c r="E155" s="509">
        <v>1020</v>
      </c>
      <c r="F155" s="509"/>
      <c r="G155" s="509"/>
      <c r="H155" s="509"/>
      <c r="I155" s="509"/>
      <c r="J155" s="509"/>
      <c r="K155" s="509"/>
      <c r="L155" s="509"/>
      <c r="M155" s="509"/>
    </row>
    <row r="156" spans="1:13" s="51" customFormat="1" ht="15.75">
      <c r="A156" s="508">
        <v>17</v>
      </c>
      <c r="B156" s="509" t="s">
        <v>1674</v>
      </c>
      <c r="C156" s="509">
        <v>1000</v>
      </c>
      <c r="D156" s="509">
        <v>0</v>
      </c>
      <c r="E156" s="509">
        <v>1000</v>
      </c>
      <c r="F156" s="509"/>
      <c r="G156" s="509"/>
      <c r="H156" s="509"/>
      <c r="I156" s="509"/>
      <c r="J156" s="509"/>
      <c r="K156" s="509"/>
      <c r="L156" s="509"/>
      <c r="M156" s="509"/>
    </row>
    <row r="157" spans="1:13" s="51" customFormat="1" ht="16.5">
      <c r="A157" s="506" t="s">
        <v>70</v>
      </c>
      <c r="B157" s="607" t="s">
        <v>1675</v>
      </c>
      <c r="C157" s="602">
        <v>46722</v>
      </c>
      <c r="D157" s="602">
        <v>0</v>
      </c>
      <c r="E157" s="602">
        <v>46722</v>
      </c>
      <c r="F157" s="602"/>
      <c r="G157" s="602"/>
      <c r="H157" s="602"/>
      <c r="I157" s="602"/>
      <c r="J157" s="602"/>
      <c r="K157" s="602"/>
      <c r="L157" s="602"/>
      <c r="M157" s="602"/>
    </row>
    <row r="158" spans="1:13" s="51" customFormat="1" ht="15.75">
      <c r="A158" s="508">
        <v>1</v>
      </c>
      <c r="B158" s="608" t="s">
        <v>1676</v>
      </c>
      <c r="C158" s="509">
        <v>7254</v>
      </c>
      <c r="D158" s="608">
        <v>0</v>
      </c>
      <c r="E158" s="611">
        <v>7254</v>
      </c>
      <c r="F158" s="608"/>
      <c r="G158" s="608"/>
      <c r="H158" s="608"/>
      <c r="I158" s="608"/>
      <c r="J158" s="608"/>
      <c r="K158" s="608"/>
      <c r="L158" s="608"/>
      <c r="M158" s="608"/>
    </row>
    <row r="159" spans="1:13" s="51" customFormat="1" ht="15.75">
      <c r="A159" s="508"/>
      <c r="B159" s="608" t="s">
        <v>1636</v>
      </c>
      <c r="C159" s="509">
        <v>3336</v>
      </c>
      <c r="D159" s="608">
        <v>0</v>
      </c>
      <c r="E159" s="611">
        <v>3336</v>
      </c>
      <c r="F159" s="608"/>
      <c r="G159" s="608"/>
      <c r="H159" s="608"/>
      <c r="I159" s="608"/>
      <c r="J159" s="608"/>
      <c r="K159" s="608"/>
      <c r="L159" s="608"/>
      <c r="M159" s="608"/>
    </row>
    <row r="160" spans="1:13" s="51" customFormat="1" ht="15.75">
      <c r="A160" s="508"/>
      <c r="B160" s="608" t="s">
        <v>1582</v>
      </c>
      <c r="C160" s="509">
        <v>1500</v>
      </c>
      <c r="D160" s="608">
        <v>0</v>
      </c>
      <c r="E160" s="611">
        <v>1500</v>
      </c>
      <c r="F160" s="608"/>
      <c r="G160" s="608"/>
      <c r="H160" s="608"/>
      <c r="I160" s="608"/>
      <c r="J160" s="608"/>
      <c r="K160" s="608"/>
      <c r="L160" s="608"/>
      <c r="M160" s="608"/>
    </row>
    <row r="161" spans="1:13" s="51" customFormat="1" ht="15.75">
      <c r="A161" s="508"/>
      <c r="B161" s="608" t="s">
        <v>1677</v>
      </c>
      <c r="C161" s="509">
        <v>2418</v>
      </c>
      <c r="D161" s="608">
        <v>0</v>
      </c>
      <c r="E161" s="611">
        <v>2418</v>
      </c>
      <c r="F161" s="608"/>
      <c r="G161" s="608"/>
      <c r="H161" s="608"/>
      <c r="I161" s="608"/>
      <c r="J161" s="608"/>
      <c r="K161" s="608"/>
      <c r="L161" s="608"/>
      <c r="M161" s="608"/>
    </row>
    <row r="162" spans="1:13" s="51" customFormat="1" ht="15.75">
      <c r="A162" s="508">
        <v>2</v>
      </c>
      <c r="B162" s="608" t="s">
        <v>1678</v>
      </c>
      <c r="C162" s="509">
        <v>35768</v>
      </c>
      <c r="D162" s="608">
        <v>0</v>
      </c>
      <c r="E162" s="611">
        <v>35768</v>
      </c>
      <c r="F162" s="608"/>
      <c r="G162" s="608"/>
      <c r="H162" s="608"/>
      <c r="I162" s="608"/>
      <c r="J162" s="608"/>
      <c r="K162" s="608"/>
      <c r="L162" s="608"/>
      <c r="M162" s="608"/>
    </row>
    <row r="163" spans="1:13" s="51" customFormat="1" ht="15.75">
      <c r="A163" s="508">
        <v>3</v>
      </c>
      <c r="B163" s="608" t="s">
        <v>1589</v>
      </c>
      <c r="C163" s="509">
        <v>1500</v>
      </c>
      <c r="D163" s="608">
        <v>0</v>
      </c>
      <c r="E163" s="611">
        <v>1500</v>
      </c>
      <c r="F163" s="608"/>
      <c r="G163" s="608"/>
      <c r="H163" s="608"/>
      <c r="I163" s="608"/>
      <c r="J163" s="608"/>
      <c r="K163" s="608"/>
      <c r="L163" s="608"/>
      <c r="M163" s="608"/>
    </row>
    <row r="164" spans="1:13" s="51" customFormat="1" ht="15.75">
      <c r="A164" s="508">
        <v>4</v>
      </c>
      <c r="B164" s="608" t="s">
        <v>1679</v>
      </c>
      <c r="C164" s="509">
        <v>2200</v>
      </c>
      <c r="D164" s="608">
        <v>0</v>
      </c>
      <c r="E164" s="611">
        <v>2200</v>
      </c>
      <c r="F164" s="608"/>
      <c r="G164" s="608"/>
      <c r="H164" s="608"/>
      <c r="I164" s="608"/>
      <c r="J164" s="608"/>
      <c r="K164" s="608"/>
      <c r="L164" s="608"/>
      <c r="M164" s="608"/>
    </row>
    <row r="165" spans="1:13" s="51" customFormat="1" ht="16.5">
      <c r="A165" s="506" t="s">
        <v>73</v>
      </c>
      <c r="B165" s="507" t="s">
        <v>1384</v>
      </c>
      <c r="C165" s="602">
        <v>373245</v>
      </c>
      <c r="D165" s="602">
        <v>0</v>
      </c>
      <c r="E165" s="602">
        <v>373245</v>
      </c>
      <c r="F165" s="602"/>
      <c r="G165" s="602"/>
      <c r="H165" s="602"/>
      <c r="I165" s="602"/>
      <c r="J165" s="602"/>
      <c r="K165" s="602"/>
      <c r="L165" s="602"/>
      <c r="M165" s="602"/>
    </row>
    <row r="166" spans="1:13" s="51" customFormat="1" ht="16.5">
      <c r="A166" s="506"/>
      <c r="B166" s="507" t="s">
        <v>1385</v>
      </c>
      <c r="C166" s="602">
        <v>337476</v>
      </c>
      <c r="D166" s="602">
        <v>0</v>
      </c>
      <c r="E166" s="602">
        <v>337476</v>
      </c>
      <c r="F166" s="602"/>
      <c r="G166" s="602"/>
      <c r="H166" s="602"/>
      <c r="I166" s="602"/>
      <c r="J166" s="602"/>
      <c r="K166" s="602"/>
      <c r="L166" s="602"/>
      <c r="M166" s="602"/>
    </row>
    <row r="167" spans="1:13" s="51" customFormat="1" ht="15.75">
      <c r="A167" s="508"/>
      <c r="B167" s="509" t="s">
        <v>1680</v>
      </c>
      <c r="C167" s="509">
        <v>3072</v>
      </c>
      <c r="D167" s="509">
        <v>0</v>
      </c>
      <c r="E167" s="509">
        <v>3072</v>
      </c>
      <c r="F167" s="509"/>
      <c r="G167" s="509"/>
      <c r="H167" s="509"/>
      <c r="I167" s="509"/>
      <c r="J167" s="509"/>
      <c r="K167" s="509"/>
      <c r="L167" s="509"/>
      <c r="M167" s="509"/>
    </row>
    <row r="168" spans="1:13" s="51" customFormat="1" ht="15.75">
      <c r="A168" s="508"/>
      <c r="B168" s="509" t="s">
        <v>1386</v>
      </c>
      <c r="C168" s="509">
        <v>334404</v>
      </c>
      <c r="D168" s="509">
        <v>0</v>
      </c>
      <c r="E168" s="509">
        <v>334404</v>
      </c>
      <c r="F168" s="509"/>
      <c r="G168" s="509"/>
      <c r="H168" s="509"/>
      <c r="I168" s="509"/>
      <c r="J168" s="509"/>
      <c r="K168" s="509"/>
      <c r="L168" s="509"/>
      <c r="M168" s="509"/>
    </row>
    <row r="169" spans="1:13" s="51" customFormat="1" ht="15.75">
      <c r="A169" s="506"/>
      <c r="B169" s="507" t="s">
        <v>1681</v>
      </c>
      <c r="C169" s="507">
        <v>35769</v>
      </c>
      <c r="D169" s="507">
        <v>0</v>
      </c>
      <c r="E169" s="505">
        <v>35769</v>
      </c>
      <c r="F169" s="505"/>
      <c r="G169" s="505"/>
      <c r="H169" s="505"/>
      <c r="I169" s="505"/>
      <c r="J169" s="505"/>
      <c r="K169" s="505"/>
      <c r="L169" s="505"/>
      <c r="M169" s="505"/>
    </row>
    <row r="170" spans="1:13" s="51" customFormat="1" ht="15.75">
      <c r="A170" s="508"/>
      <c r="B170" s="509" t="s">
        <v>1682</v>
      </c>
      <c r="C170" s="509">
        <v>9000</v>
      </c>
      <c r="D170" s="509">
        <v>0</v>
      </c>
      <c r="E170" s="509">
        <v>9000</v>
      </c>
      <c r="F170" s="509"/>
      <c r="G170" s="509"/>
      <c r="H170" s="509"/>
      <c r="I170" s="509"/>
      <c r="J170" s="509"/>
      <c r="K170" s="509"/>
      <c r="L170" s="509"/>
      <c r="M170" s="509"/>
    </row>
    <row r="171" spans="1:13" s="51" customFormat="1" ht="15.75">
      <c r="A171" s="508"/>
      <c r="B171" s="509" t="s">
        <v>1683</v>
      </c>
      <c r="C171" s="509">
        <v>400</v>
      </c>
      <c r="D171" s="509">
        <v>0</v>
      </c>
      <c r="E171" s="509">
        <v>400</v>
      </c>
      <c r="F171" s="509"/>
      <c r="G171" s="509"/>
      <c r="H171" s="509"/>
      <c r="I171" s="509"/>
      <c r="J171" s="509"/>
      <c r="K171" s="509"/>
      <c r="L171" s="509"/>
      <c r="M171" s="509"/>
    </row>
    <row r="172" spans="1:13" s="51" customFormat="1" ht="15.75">
      <c r="A172" s="508"/>
      <c r="B172" s="509" t="s">
        <v>1684</v>
      </c>
      <c r="C172" s="509">
        <v>13837</v>
      </c>
      <c r="D172" s="509">
        <v>0</v>
      </c>
      <c r="E172" s="509">
        <v>13837</v>
      </c>
      <c r="F172" s="509"/>
      <c r="G172" s="509"/>
      <c r="H172" s="509"/>
      <c r="I172" s="509"/>
      <c r="J172" s="509"/>
      <c r="K172" s="509"/>
      <c r="L172" s="509"/>
      <c r="M172" s="509"/>
    </row>
    <row r="173" spans="1:13" s="51" customFormat="1" ht="15.75">
      <c r="A173" s="508"/>
      <c r="B173" s="509" t="s">
        <v>1685</v>
      </c>
      <c r="C173" s="509">
        <v>4800</v>
      </c>
      <c r="D173" s="509">
        <v>0</v>
      </c>
      <c r="E173" s="509">
        <v>4800</v>
      </c>
      <c r="F173" s="509"/>
      <c r="G173" s="509"/>
      <c r="H173" s="509"/>
      <c r="I173" s="509"/>
      <c r="J173" s="509"/>
      <c r="K173" s="509"/>
      <c r="L173" s="509"/>
      <c r="M173" s="509"/>
    </row>
    <row r="174" spans="1:13" s="51" customFormat="1" ht="15.75">
      <c r="A174" s="508"/>
      <c r="B174" s="603" t="s">
        <v>1686</v>
      </c>
      <c r="C174" s="509">
        <v>5100</v>
      </c>
      <c r="D174" s="603">
        <v>0</v>
      </c>
      <c r="E174" s="603">
        <v>5100</v>
      </c>
      <c r="F174" s="603"/>
      <c r="G174" s="603"/>
      <c r="H174" s="603"/>
      <c r="I174" s="603"/>
      <c r="J174" s="603"/>
      <c r="K174" s="603"/>
      <c r="L174" s="603"/>
      <c r="M174" s="603"/>
    </row>
    <row r="175" spans="1:13" s="51" customFormat="1" ht="15.75">
      <c r="A175" s="508"/>
      <c r="B175" s="509" t="s">
        <v>1687</v>
      </c>
      <c r="C175" s="509">
        <v>0</v>
      </c>
      <c r="D175" s="509">
        <v>0</v>
      </c>
      <c r="E175" s="509">
        <v>0</v>
      </c>
      <c r="F175" s="509"/>
      <c r="G175" s="509"/>
      <c r="H175" s="509"/>
      <c r="I175" s="509"/>
      <c r="J175" s="509"/>
      <c r="K175" s="509"/>
      <c r="L175" s="509"/>
      <c r="M175" s="509"/>
    </row>
    <row r="176" spans="1:13" s="51" customFormat="1" ht="15.75">
      <c r="A176" s="508"/>
      <c r="B176" s="509" t="s">
        <v>1688</v>
      </c>
      <c r="C176" s="509">
        <v>2632</v>
      </c>
      <c r="D176" s="509">
        <v>0</v>
      </c>
      <c r="E176" s="509">
        <v>2632</v>
      </c>
      <c r="F176" s="509"/>
      <c r="G176" s="509"/>
      <c r="H176" s="509"/>
      <c r="I176" s="509"/>
      <c r="J176" s="509"/>
      <c r="K176" s="509"/>
      <c r="L176" s="509"/>
      <c r="M176" s="509"/>
    </row>
    <row r="177" spans="1:13" s="51" customFormat="1" ht="15.75">
      <c r="A177" s="508"/>
      <c r="B177" s="509" t="s">
        <v>1689</v>
      </c>
      <c r="C177" s="509">
        <v>0</v>
      </c>
      <c r="D177" s="509">
        <v>0</v>
      </c>
      <c r="E177" s="509">
        <v>0</v>
      </c>
      <c r="F177" s="509"/>
      <c r="G177" s="509"/>
      <c r="H177" s="509"/>
      <c r="I177" s="509"/>
      <c r="J177" s="509"/>
      <c r="K177" s="509"/>
      <c r="L177" s="509"/>
      <c r="M177" s="509"/>
    </row>
    <row r="178" spans="1:13" s="51" customFormat="1" ht="15.75">
      <c r="A178" s="508"/>
      <c r="B178" s="509" t="s">
        <v>1690</v>
      </c>
      <c r="C178" s="509">
        <v>0</v>
      </c>
      <c r="D178" s="509">
        <v>0</v>
      </c>
      <c r="E178" s="509">
        <v>0</v>
      </c>
      <c r="F178" s="509"/>
      <c r="G178" s="509"/>
      <c r="H178" s="509"/>
      <c r="I178" s="509"/>
      <c r="J178" s="509"/>
      <c r="K178" s="509"/>
      <c r="L178" s="509"/>
      <c r="M178" s="509"/>
    </row>
    <row r="179" spans="1:13" s="51" customFormat="1" ht="15.75">
      <c r="A179" s="508"/>
      <c r="B179" s="509" t="s">
        <v>1691</v>
      </c>
      <c r="C179" s="509">
        <v>0</v>
      </c>
      <c r="D179" s="509">
        <v>0</v>
      </c>
      <c r="E179" s="509">
        <v>0</v>
      </c>
      <c r="F179" s="509"/>
      <c r="G179" s="509"/>
      <c r="H179" s="509"/>
      <c r="I179" s="509"/>
      <c r="J179" s="509"/>
      <c r="K179" s="509"/>
      <c r="L179" s="509"/>
      <c r="M179" s="509"/>
    </row>
    <row r="180" spans="1:13" s="51" customFormat="1" ht="16.5">
      <c r="A180" s="506" t="s">
        <v>77</v>
      </c>
      <c r="B180" s="507" t="s">
        <v>1387</v>
      </c>
      <c r="C180" s="602">
        <v>86416</v>
      </c>
      <c r="D180" s="602">
        <v>0</v>
      </c>
      <c r="E180" s="602">
        <v>86416</v>
      </c>
      <c r="F180" s="602"/>
      <c r="G180" s="602"/>
      <c r="H180" s="602"/>
      <c r="I180" s="602"/>
      <c r="J180" s="602"/>
      <c r="K180" s="602"/>
      <c r="L180" s="602"/>
      <c r="M180" s="602"/>
    </row>
    <row r="181" spans="1:13" s="51" customFormat="1" ht="15.75">
      <c r="A181" s="508">
        <v>1</v>
      </c>
      <c r="B181" s="509" t="s">
        <v>1388</v>
      </c>
      <c r="C181" s="509">
        <v>4000</v>
      </c>
      <c r="D181" s="509">
        <v>0</v>
      </c>
      <c r="E181" s="509">
        <v>4000</v>
      </c>
      <c r="F181" s="509"/>
      <c r="G181" s="509"/>
      <c r="H181" s="509"/>
      <c r="I181" s="509"/>
      <c r="J181" s="509"/>
      <c r="K181" s="509"/>
      <c r="L181" s="509"/>
      <c r="M181" s="509"/>
    </row>
    <row r="182" spans="1:13" s="51" customFormat="1" ht="15.75">
      <c r="A182" s="508">
        <v>2</v>
      </c>
      <c r="B182" s="509" t="s">
        <v>1692</v>
      </c>
      <c r="C182" s="509">
        <v>4437</v>
      </c>
      <c r="D182" s="509">
        <v>0</v>
      </c>
      <c r="E182" s="509">
        <v>4437</v>
      </c>
      <c r="F182" s="509"/>
      <c r="G182" s="509"/>
      <c r="H182" s="509"/>
      <c r="I182" s="509"/>
      <c r="J182" s="509"/>
      <c r="K182" s="509"/>
      <c r="L182" s="509"/>
      <c r="M182" s="509"/>
    </row>
    <row r="183" spans="1:13" s="51" customFormat="1" ht="15.75">
      <c r="A183" s="508">
        <v>3</v>
      </c>
      <c r="B183" s="509" t="s">
        <v>1693</v>
      </c>
      <c r="C183" s="509">
        <v>3690</v>
      </c>
      <c r="D183" s="509">
        <v>0</v>
      </c>
      <c r="E183" s="509">
        <v>3690</v>
      </c>
      <c r="F183" s="509"/>
      <c r="G183" s="509"/>
      <c r="H183" s="509"/>
      <c r="I183" s="509"/>
      <c r="J183" s="509"/>
      <c r="K183" s="509"/>
      <c r="L183" s="509"/>
      <c r="M183" s="509"/>
    </row>
    <row r="184" spans="1:13" s="51" customFormat="1" ht="15.75">
      <c r="A184" s="508">
        <v>4</v>
      </c>
      <c r="B184" s="509" t="s">
        <v>1694</v>
      </c>
      <c r="C184" s="509">
        <v>12728</v>
      </c>
      <c r="D184" s="509">
        <v>0</v>
      </c>
      <c r="E184" s="509">
        <v>12728</v>
      </c>
      <c r="F184" s="509"/>
      <c r="G184" s="509"/>
      <c r="H184" s="509"/>
      <c r="I184" s="509"/>
      <c r="J184" s="509"/>
      <c r="K184" s="509"/>
      <c r="L184" s="509"/>
      <c r="M184" s="509"/>
    </row>
    <row r="185" spans="1:13" s="51" customFormat="1" ht="15.75">
      <c r="A185" s="508">
        <v>5</v>
      </c>
      <c r="B185" s="609" t="s">
        <v>1695</v>
      </c>
      <c r="C185" s="509">
        <v>2608</v>
      </c>
      <c r="D185" s="609">
        <v>0</v>
      </c>
      <c r="E185" s="609">
        <v>2608</v>
      </c>
      <c r="F185" s="609"/>
      <c r="G185" s="609"/>
      <c r="H185" s="609"/>
      <c r="I185" s="609"/>
      <c r="J185" s="609"/>
      <c r="K185" s="609"/>
      <c r="L185" s="609"/>
      <c r="M185" s="609"/>
    </row>
    <row r="186" spans="1:13" s="51" customFormat="1" ht="15.75">
      <c r="A186" s="508">
        <v>6</v>
      </c>
      <c r="B186" s="609" t="s">
        <v>1696</v>
      </c>
      <c r="C186" s="509">
        <v>811</v>
      </c>
      <c r="D186" s="609">
        <v>0</v>
      </c>
      <c r="E186" s="609">
        <v>811</v>
      </c>
      <c r="F186" s="609"/>
      <c r="G186" s="609"/>
      <c r="H186" s="609"/>
      <c r="I186" s="609"/>
      <c r="J186" s="609"/>
      <c r="K186" s="609"/>
      <c r="L186" s="609"/>
      <c r="M186" s="609"/>
    </row>
    <row r="187" spans="1:13" s="51" customFormat="1" ht="15.75">
      <c r="A187" s="508">
        <v>7</v>
      </c>
      <c r="B187" s="509" t="s">
        <v>1697</v>
      </c>
      <c r="C187" s="509">
        <v>12120</v>
      </c>
      <c r="D187" s="509">
        <v>0</v>
      </c>
      <c r="E187" s="509">
        <v>12120</v>
      </c>
      <c r="F187" s="509"/>
      <c r="G187" s="509"/>
      <c r="H187" s="509"/>
      <c r="I187" s="509"/>
      <c r="J187" s="509"/>
      <c r="K187" s="509"/>
      <c r="L187" s="509"/>
      <c r="M187" s="509"/>
    </row>
    <row r="188" spans="1:13" s="51" customFormat="1" ht="15.75">
      <c r="A188" s="508">
        <v>8</v>
      </c>
      <c r="B188" s="509" t="s">
        <v>1394</v>
      </c>
      <c r="C188" s="509">
        <v>2813</v>
      </c>
      <c r="D188" s="509">
        <v>0</v>
      </c>
      <c r="E188" s="509">
        <v>2813</v>
      </c>
      <c r="F188" s="509"/>
      <c r="G188" s="509"/>
      <c r="H188" s="509"/>
      <c r="I188" s="509"/>
      <c r="J188" s="509"/>
      <c r="K188" s="509"/>
      <c r="L188" s="509"/>
      <c r="M188" s="509"/>
    </row>
    <row r="189" spans="1:13" s="51" customFormat="1" ht="15.75">
      <c r="A189" s="508">
        <v>9</v>
      </c>
      <c r="B189" s="509" t="s">
        <v>1698</v>
      </c>
      <c r="C189" s="509">
        <v>1700</v>
      </c>
      <c r="D189" s="509">
        <v>0</v>
      </c>
      <c r="E189" s="509">
        <v>1700</v>
      </c>
      <c r="F189" s="509"/>
      <c r="G189" s="509"/>
      <c r="H189" s="509"/>
      <c r="I189" s="509"/>
      <c r="J189" s="509"/>
      <c r="K189" s="509"/>
      <c r="L189" s="509"/>
      <c r="M189" s="509"/>
    </row>
    <row r="190" spans="1:13" s="51" customFormat="1" ht="15.75">
      <c r="A190" s="508">
        <v>10</v>
      </c>
      <c r="B190" s="509" t="s">
        <v>1395</v>
      </c>
      <c r="C190" s="509">
        <v>15659</v>
      </c>
      <c r="D190" s="509">
        <v>0</v>
      </c>
      <c r="E190" s="509">
        <v>15659</v>
      </c>
      <c r="F190" s="509"/>
      <c r="G190" s="509"/>
      <c r="H190" s="509"/>
      <c r="I190" s="509"/>
      <c r="J190" s="509"/>
      <c r="K190" s="509"/>
      <c r="L190" s="509"/>
      <c r="M190" s="509"/>
    </row>
    <row r="191" spans="1:13" s="51" customFormat="1" ht="15.75">
      <c r="A191" s="508">
        <v>11</v>
      </c>
      <c r="B191" s="509" t="s">
        <v>1396</v>
      </c>
      <c r="C191" s="509">
        <v>3140</v>
      </c>
      <c r="D191" s="509">
        <v>0</v>
      </c>
      <c r="E191" s="509">
        <v>3140</v>
      </c>
      <c r="F191" s="509"/>
      <c r="G191" s="509"/>
      <c r="H191" s="509"/>
      <c r="I191" s="509"/>
      <c r="J191" s="509"/>
      <c r="K191" s="509"/>
      <c r="L191" s="509"/>
      <c r="M191" s="509"/>
    </row>
    <row r="192" spans="1:13" s="51" customFormat="1" ht="15.75">
      <c r="A192" s="508">
        <v>12</v>
      </c>
      <c r="B192" s="509" t="s">
        <v>1026</v>
      </c>
      <c r="C192" s="509">
        <v>9110</v>
      </c>
      <c r="D192" s="509">
        <v>0</v>
      </c>
      <c r="E192" s="509">
        <v>9110</v>
      </c>
      <c r="F192" s="509"/>
      <c r="G192" s="509"/>
      <c r="H192" s="509"/>
      <c r="I192" s="509"/>
      <c r="J192" s="509"/>
      <c r="K192" s="509"/>
      <c r="L192" s="509"/>
      <c r="M192" s="509"/>
    </row>
    <row r="193" spans="1:13" s="51" customFormat="1" ht="15.75">
      <c r="A193" s="508">
        <v>13</v>
      </c>
      <c r="B193" s="509" t="s">
        <v>1699</v>
      </c>
      <c r="C193" s="509">
        <v>13600</v>
      </c>
      <c r="D193" s="509">
        <v>0</v>
      </c>
      <c r="E193" s="509">
        <v>13600</v>
      </c>
      <c r="F193" s="509"/>
      <c r="G193" s="509"/>
      <c r="H193" s="509"/>
      <c r="I193" s="509"/>
      <c r="J193" s="509"/>
      <c r="K193" s="509"/>
      <c r="L193" s="509"/>
      <c r="M193" s="509"/>
    </row>
    <row r="194" spans="1:13" s="51" customFormat="1" ht="15.75">
      <c r="A194" s="506" t="s">
        <v>113</v>
      </c>
      <c r="B194" s="507" t="s">
        <v>1397</v>
      </c>
      <c r="C194" s="507">
        <v>316021</v>
      </c>
      <c r="D194" s="507">
        <v>0</v>
      </c>
      <c r="E194" s="507">
        <v>316021</v>
      </c>
      <c r="F194" s="507"/>
      <c r="G194" s="507"/>
      <c r="H194" s="507"/>
      <c r="I194" s="507"/>
      <c r="J194" s="507"/>
      <c r="K194" s="507"/>
      <c r="L194" s="507"/>
      <c r="M194" s="507"/>
    </row>
    <row r="195" spans="1:13" s="51" customFormat="1" ht="15.75">
      <c r="A195" s="508">
        <v>1</v>
      </c>
      <c r="B195" s="509" t="s">
        <v>1700</v>
      </c>
      <c r="C195" s="509">
        <v>17400</v>
      </c>
      <c r="D195" s="509">
        <v>0</v>
      </c>
      <c r="E195" s="509">
        <v>17400</v>
      </c>
      <c r="F195" s="509"/>
      <c r="G195" s="509"/>
      <c r="H195" s="509"/>
      <c r="I195" s="509"/>
      <c r="J195" s="509"/>
      <c r="K195" s="509"/>
      <c r="L195" s="509"/>
      <c r="M195" s="509"/>
    </row>
    <row r="196" spans="1:13" s="51" customFormat="1" ht="15.75">
      <c r="A196" s="508">
        <v>2</v>
      </c>
      <c r="B196" s="509" t="s">
        <v>1701</v>
      </c>
      <c r="C196" s="509">
        <v>540</v>
      </c>
      <c r="D196" s="509">
        <v>0</v>
      </c>
      <c r="E196" s="509">
        <v>540</v>
      </c>
      <c r="F196" s="509"/>
      <c r="G196" s="509"/>
      <c r="H196" s="509"/>
      <c r="I196" s="509"/>
      <c r="J196" s="509"/>
      <c r="K196" s="509"/>
      <c r="L196" s="509"/>
      <c r="M196" s="509"/>
    </row>
    <row r="197" spans="1:13" s="51" customFormat="1" ht="15.75">
      <c r="A197" s="508">
        <v>3</v>
      </c>
      <c r="B197" s="509" t="s">
        <v>1702</v>
      </c>
      <c r="C197" s="509">
        <v>1000</v>
      </c>
      <c r="D197" s="509">
        <v>0</v>
      </c>
      <c r="E197" s="509">
        <v>1000</v>
      </c>
      <c r="F197" s="509"/>
      <c r="G197" s="509"/>
      <c r="H197" s="509"/>
      <c r="I197" s="509"/>
      <c r="J197" s="509"/>
      <c r="K197" s="509"/>
      <c r="L197" s="509"/>
      <c r="M197" s="509"/>
    </row>
    <row r="198" spans="1:13" s="51" customFormat="1" ht="15.75">
      <c r="A198" s="508">
        <v>4</v>
      </c>
      <c r="B198" s="290" t="s">
        <v>1703</v>
      </c>
      <c r="C198" s="509">
        <v>2000</v>
      </c>
      <c r="D198" s="290">
        <v>0</v>
      </c>
      <c r="E198" s="290">
        <v>2000</v>
      </c>
      <c r="F198" s="290"/>
      <c r="G198" s="290"/>
      <c r="H198" s="290"/>
      <c r="I198" s="290"/>
      <c r="J198" s="290"/>
      <c r="K198" s="290"/>
      <c r="L198" s="290"/>
      <c r="M198" s="290"/>
    </row>
    <row r="199" spans="1:13" s="51" customFormat="1" ht="15.75">
      <c r="A199" s="508">
        <v>5</v>
      </c>
      <c r="B199" s="509" t="s">
        <v>1704</v>
      </c>
      <c r="C199" s="509">
        <v>1200</v>
      </c>
      <c r="D199" s="509">
        <v>0</v>
      </c>
      <c r="E199" s="509">
        <v>1200</v>
      </c>
      <c r="F199" s="509"/>
      <c r="G199" s="509"/>
      <c r="H199" s="509"/>
      <c r="I199" s="509"/>
      <c r="J199" s="509"/>
      <c r="K199" s="509"/>
      <c r="L199" s="509"/>
      <c r="M199" s="509"/>
    </row>
    <row r="200" spans="1:13" s="51" customFormat="1" ht="15.75">
      <c r="A200" s="508">
        <v>6</v>
      </c>
      <c r="B200" s="509" t="s">
        <v>1705</v>
      </c>
      <c r="C200" s="509">
        <v>7000</v>
      </c>
      <c r="D200" s="509">
        <v>0</v>
      </c>
      <c r="E200" s="509">
        <v>7000</v>
      </c>
      <c r="F200" s="509"/>
      <c r="G200" s="509"/>
      <c r="H200" s="509"/>
      <c r="I200" s="509"/>
      <c r="J200" s="509"/>
      <c r="K200" s="509"/>
      <c r="L200" s="509"/>
      <c r="M200" s="509"/>
    </row>
    <row r="201" spans="1:13" s="51" customFormat="1" ht="15.75">
      <c r="A201" s="508">
        <v>7</v>
      </c>
      <c r="B201" s="509" t="s">
        <v>1706</v>
      </c>
      <c r="C201" s="509">
        <v>20000</v>
      </c>
      <c r="D201" s="509">
        <v>0</v>
      </c>
      <c r="E201" s="509">
        <v>20000</v>
      </c>
      <c r="F201" s="509"/>
      <c r="G201" s="509"/>
      <c r="H201" s="509"/>
      <c r="I201" s="509"/>
      <c r="J201" s="509"/>
      <c r="K201" s="509"/>
      <c r="L201" s="509"/>
      <c r="M201" s="509"/>
    </row>
    <row r="202" spans="1:13" s="51" customFormat="1" ht="15.75">
      <c r="A202" s="508">
        <v>8</v>
      </c>
      <c r="B202" s="509" t="s">
        <v>1398</v>
      </c>
      <c r="C202" s="509">
        <v>1330</v>
      </c>
      <c r="D202" s="509">
        <v>0</v>
      </c>
      <c r="E202" s="509">
        <v>1330</v>
      </c>
      <c r="F202" s="509"/>
      <c r="G202" s="509"/>
      <c r="H202" s="509"/>
      <c r="I202" s="509"/>
      <c r="J202" s="509"/>
      <c r="K202" s="509"/>
      <c r="L202" s="509"/>
      <c r="M202" s="509"/>
    </row>
    <row r="203" spans="1:13" s="51" customFormat="1" ht="15.75">
      <c r="A203" s="508">
        <v>9</v>
      </c>
      <c r="B203" s="509" t="s">
        <v>1399</v>
      </c>
      <c r="C203" s="509">
        <v>1710</v>
      </c>
      <c r="D203" s="509">
        <v>0</v>
      </c>
      <c r="E203" s="509">
        <v>1710</v>
      </c>
      <c r="F203" s="509"/>
      <c r="G203" s="509"/>
      <c r="H203" s="509"/>
      <c r="I203" s="509"/>
      <c r="J203" s="509"/>
      <c r="K203" s="509"/>
      <c r="L203" s="509"/>
      <c r="M203" s="509"/>
    </row>
    <row r="204" spans="1:13" s="51" customFormat="1" ht="15.75">
      <c r="A204" s="508">
        <v>10</v>
      </c>
      <c r="B204" s="509" t="s">
        <v>1400</v>
      </c>
      <c r="C204" s="509">
        <v>2000</v>
      </c>
      <c r="D204" s="509">
        <v>0</v>
      </c>
      <c r="E204" s="509">
        <v>2000</v>
      </c>
      <c r="F204" s="509"/>
      <c r="G204" s="509"/>
      <c r="H204" s="509"/>
      <c r="I204" s="509"/>
      <c r="J204" s="509"/>
      <c r="K204" s="509"/>
      <c r="L204" s="509"/>
      <c r="M204" s="509"/>
    </row>
    <row r="205" spans="1:13" s="51" customFormat="1" ht="15.75">
      <c r="A205" s="508">
        <v>11</v>
      </c>
      <c r="B205" s="509" t="s">
        <v>1401</v>
      </c>
      <c r="C205" s="509">
        <v>0</v>
      </c>
      <c r="D205" s="509">
        <v>0</v>
      </c>
      <c r="E205" s="509">
        <v>0</v>
      </c>
      <c r="F205" s="509"/>
      <c r="G205" s="509"/>
      <c r="H205" s="509"/>
      <c r="I205" s="509"/>
      <c r="J205" s="509"/>
      <c r="K205" s="509"/>
      <c r="L205" s="509"/>
      <c r="M205" s="509"/>
    </row>
    <row r="206" spans="1:13" s="51" customFormat="1" ht="15.75">
      <c r="A206" s="508">
        <v>12</v>
      </c>
      <c r="B206" s="509" t="s">
        <v>1707</v>
      </c>
      <c r="C206" s="509">
        <v>1520</v>
      </c>
      <c r="D206" s="509">
        <v>0</v>
      </c>
      <c r="E206" s="509">
        <v>1520</v>
      </c>
      <c r="F206" s="509"/>
      <c r="G206" s="509"/>
      <c r="H206" s="509"/>
      <c r="I206" s="509"/>
      <c r="J206" s="509"/>
      <c r="K206" s="509"/>
      <c r="L206" s="509"/>
      <c r="M206" s="509"/>
    </row>
    <row r="207" spans="1:13" s="51" customFormat="1" ht="15.75">
      <c r="A207" s="508">
        <v>13</v>
      </c>
      <c r="B207" s="509" t="s">
        <v>1402</v>
      </c>
      <c r="C207" s="509">
        <v>6030</v>
      </c>
      <c r="D207" s="509">
        <v>0</v>
      </c>
      <c r="E207" s="509">
        <v>6030</v>
      </c>
      <c r="F207" s="509"/>
      <c r="G207" s="509"/>
      <c r="H207" s="509"/>
      <c r="I207" s="509"/>
      <c r="J207" s="509"/>
      <c r="K207" s="509"/>
      <c r="L207" s="509"/>
      <c r="M207" s="509"/>
    </row>
    <row r="208" spans="1:13" s="51" customFormat="1" ht="15.75">
      <c r="A208" s="508">
        <v>14</v>
      </c>
      <c r="B208" s="509" t="s">
        <v>1708</v>
      </c>
      <c r="C208" s="509">
        <v>27104</v>
      </c>
      <c r="D208" s="509">
        <v>0</v>
      </c>
      <c r="E208" s="509">
        <v>27104</v>
      </c>
      <c r="F208" s="509"/>
      <c r="G208" s="509"/>
      <c r="H208" s="509"/>
      <c r="I208" s="509"/>
      <c r="J208" s="509"/>
      <c r="K208" s="509"/>
      <c r="L208" s="509"/>
      <c r="M208" s="509"/>
    </row>
    <row r="209" spans="1:13" s="51" customFormat="1" ht="15.75">
      <c r="A209" s="508">
        <v>15</v>
      </c>
      <c r="B209" s="509" t="s">
        <v>1403</v>
      </c>
      <c r="C209" s="509">
        <v>11924</v>
      </c>
      <c r="D209" s="509">
        <v>0</v>
      </c>
      <c r="E209" s="509">
        <v>11924</v>
      </c>
      <c r="F209" s="509"/>
      <c r="G209" s="509"/>
      <c r="H209" s="509"/>
      <c r="I209" s="509"/>
      <c r="J209" s="509"/>
      <c r="K209" s="509"/>
      <c r="L209" s="509"/>
      <c r="M209" s="509"/>
    </row>
    <row r="210" spans="1:13" s="51" customFormat="1" ht="15.75">
      <c r="A210" s="508">
        <v>16</v>
      </c>
      <c r="B210" s="509" t="s">
        <v>1404</v>
      </c>
      <c r="C210" s="509">
        <v>60313</v>
      </c>
      <c r="D210" s="509">
        <v>0</v>
      </c>
      <c r="E210" s="509">
        <v>60313</v>
      </c>
      <c r="F210" s="509"/>
      <c r="G210" s="509"/>
      <c r="H210" s="509"/>
      <c r="I210" s="509"/>
      <c r="J210" s="509"/>
      <c r="K210" s="509"/>
      <c r="L210" s="509"/>
      <c r="M210" s="509"/>
    </row>
    <row r="211" spans="1:13" s="51" customFormat="1" ht="15.75">
      <c r="A211" s="508">
        <v>17</v>
      </c>
      <c r="B211" s="509" t="s">
        <v>1405</v>
      </c>
      <c r="C211" s="509">
        <v>133100</v>
      </c>
      <c r="D211" s="509">
        <v>0</v>
      </c>
      <c r="E211" s="509">
        <v>133100</v>
      </c>
      <c r="F211" s="509"/>
      <c r="G211" s="509"/>
      <c r="H211" s="509"/>
      <c r="I211" s="509"/>
      <c r="J211" s="509"/>
      <c r="K211" s="509"/>
      <c r="L211" s="509"/>
      <c r="M211" s="509"/>
    </row>
    <row r="212" spans="1:13" s="51" customFormat="1" ht="15.75">
      <c r="A212" s="508">
        <v>18</v>
      </c>
      <c r="B212" s="509" t="s">
        <v>1406</v>
      </c>
      <c r="C212" s="509">
        <v>2350</v>
      </c>
      <c r="D212" s="509">
        <v>0</v>
      </c>
      <c r="E212" s="509">
        <v>2350</v>
      </c>
      <c r="F212" s="509"/>
      <c r="G212" s="509"/>
      <c r="H212" s="509"/>
      <c r="I212" s="509"/>
      <c r="J212" s="509"/>
      <c r="K212" s="509"/>
      <c r="L212" s="509"/>
      <c r="M212" s="509"/>
    </row>
    <row r="213" spans="1:13" s="51" customFormat="1" ht="15.75">
      <c r="A213" s="508">
        <v>19</v>
      </c>
      <c r="B213" s="509" t="s">
        <v>1407</v>
      </c>
      <c r="C213" s="509">
        <v>0</v>
      </c>
      <c r="D213" s="509">
        <v>0</v>
      </c>
      <c r="E213" s="509">
        <v>0</v>
      </c>
      <c r="F213" s="509"/>
      <c r="G213" s="509"/>
      <c r="H213" s="509"/>
      <c r="I213" s="509"/>
      <c r="J213" s="509"/>
      <c r="K213" s="509"/>
      <c r="L213" s="509"/>
      <c r="M213" s="509"/>
    </row>
    <row r="214" spans="1:13" s="51" customFormat="1" ht="15.75">
      <c r="A214" s="508">
        <v>20</v>
      </c>
      <c r="B214" s="509" t="s">
        <v>1408</v>
      </c>
      <c r="C214" s="509">
        <v>8000</v>
      </c>
      <c r="D214" s="509">
        <v>0</v>
      </c>
      <c r="E214" s="509">
        <v>8000</v>
      </c>
      <c r="F214" s="509"/>
      <c r="G214" s="509"/>
      <c r="H214" s="509"/>
      <c r="I214" s="509"/>
      <c r="J214" s="509"/>
      <c r="K214" s="509"/>
      <c r="L214" s="509"/>
      <c r="M214" s="509"/>
    </row>
    <row r="215" spans="1:13" s="51" customFormat="1" ht="15.75">
      <c r="A215" s="508">
        <v>21</v>
      </c>
      <c r="B215" s="509" t="s">
        <v>1409</v>
      </c>
      <c r="C215" s="509">
        <v>7500</v>
      </c>
      <c r="D215" s="509">
        <v>0</v>
      </c>
      <c r="E215" s="509">
        <v>7500</v>
      </c>
      <c r="F215" s="509"/>
      <c r="G215" s="509"/>
      <c r="H215" s="509"/>
      <c r="I215" s="509"/>
      <c r="J215" s="509"/>
      <c r="K215" s="509"/>
      <c r="L215" s="509"/>
      <c r="M215" s="509"/>
    </row>
    <row r="216" spans="1:13" s="51" customFormat="1" ht="15.75">
      <c r="A216" s="508">
        <v>22</v>
      </c>
      <c r="B216" s="509" t="s">
        <v>1410</v>
      </c>
      <c r="C216" s="509">
        <v>4000</v>
      </c>
      <c r="D216" s="509">
        <v>0</v>
      </c>
      <c r="E216" s="509">
        <v>4000</v>
      </c>
      <c r="F216" s="509"/>
      <c r="G216" s="509"/>
      <c r="H216" s="509"/>
      <c r="I216" s="509"/>
      <c r="J216" s="509"/>
      <c r="K216" s="509"/>
      <c r="L216" s="509"/>
      <c r="M216" s="509"/>
    </row>
    <row r="217" spans="1:13" s="51" customFormat="1" ht="15.75">
      <c r="A217" s="508">
        <v>23</v>
      </c>
      <c r="B217" s="509" t="s">
        <v>1411</v>
      </c>
      <c r="C217" s="509">
        <v>0</v>
      </c>
      <c r="D217" s="509">
        <v>0</v>
      </c>
      <c r="E217" s="509">
        <v>0</v>
      </c>
      <c r="F217" s="509"/>
      <c r="G217" s="509"/>
      <c r="H217" s="509"/>
      <c r="I217" s="509"/>
      <c r="J217" s="509"/>
      <c r="K217" s="509"/>
      <c r="L217" s="509"/>
      <c r="M217" s="509"/>
    </row>
    <row r="218" spans="1:13" s="51" customFormat="1" ht="15.75">
      <c r="A218" s="508">
        <v>24</v>
      </c>
      <c r="B218" s="509" t="s">
        <v>1412</v>
      </c>
      <c r="C218" s="509">
        <v>0</v>
      </c>
      <c r="D218" s="509">
        <v>0</v>
      </c>
      <c r="E218" s="509">
        <v>0</v>
      </c>
      <c r="F218" s="509"/>
      <c r="G218" s="509"/>
      <c r="H218" s="509"/>
      <c r="I218" s="509"/>
      <c r="J218" s="509"/>
      <c r="K218" s="509"/>
      <c r="L218" s="509"/>
      <c r="M218" s="509"/>
    </row>
    <row r="219" spans="1:13" s="51" customFormat="1" ht="15.75">
      <c r="A219" s="508">
        <v>25</v>
      </c>
      <c r="B219" s="509" t="s">
        <v>1413</v>
      </c>
      <c r="C219" s="509">
        <v>0</v>
      </c>
      <c r="D219" s="509">
        <v>0</v>
      </c>
      <c r="E219" s="509">
        <v>0</v>
      </c>
      <c r="F219" s="509"/>
      <c r="G219" s="509"/>
      <c r="H219" s="509"/>
      <c r="I219" s="509"/>
      <c r="J219" s="509"/>
      <c r="K219" s="509"/>
      <c r="L219" s="509"/>
      <c r="M219" s="509"/>
    </row>
    <row r="220" spans="1:13" s="51" customFormat="1" ht="16.5">
      <c r="A220" s="506" t="s">
        <v>396</v>
      </c>
      <c r="B220" s="507" t="s">
        <v>1414</v>
      </c>
      <c r="C220" s="602">
        <v>26599</v>
      </c>
      <c r="D220" s="602">
        <v>0</v>
      </c>
      <c r="E220" s="602">
        <v>26599</v>
      </c>
      <c r="F220" s="602"/>
      <c r="G220" s="602"/>
      <c r="H220" s="602"/>
      <c r="I220" s="602"/>
      <c r="J220" s="602"/>
      <c r="K220" s="602"/>
      <c r="L220" s="602"/>
      <c r="M220" s="602"/>
    </row>
    <row r="221" spans="1:13" s="51" customFormat="1" ht="15.75">
      <c r="A221" s="508">
        <v>1</v>
      </c>
      <c r="B221" s="509" t="s">
        <v>1415</v>
      </c>
      <c r="C221" s="509">
        <v>1700</v>
      </c>
      <c r="D221" s="509">
        <v>0</v>
      </c>
      <c r="E221" s="509">
        <v>1700</v>
      </c>
      <c r="F221" s="509"/>
      <c r="G221" s="509"/>
      <c r="H221" s="509"/>
      <c r="I221" s="509"/>
      <c r="J221" s="509"/>
      <c r="K221" s="509"/>
      <c r="L221" s="509"/>
      <c r="M221" s="509"/>
    </row>
    <row r="222" spans="1:13" s="51" customFormat="1" ht="15.75">
      <c r="A222" s="508">
        <v>2</v>
      </c>
      <c r="B222" s="509" t="s">
        <v>1416</v>
      </c>
      <c r="C222" s="509">
        <v>1700</v>
      </c>
      <c r="D222" s="509">
        <v>0</v>
      </c>
      <c r="E222" s="509">
        <v>1700</v>
      </c>
      <c r="F222" s="509"/>
      <c r="G222" s="509"/>
      <c r="H222" s="509"/>
      <c r="I222" s="509"/>
      <c r="J222" s="509"/>
      <c r="K222" s="509"/>
      <c r="L222" s="509"/>
      <c r="M222" s="509"/>
    </row>
    <row r="223" spans="1:13" s="51" customFormat="1" ht="15.75">
      <c r="A223" s="508">
        <v>3</v>
      </c>
      <c r="B223" s="509" t="s">
        <v>1417</v>
      </c>
      <c r="C223" s="509">
        <v>5950</v>
      </c>
      <c r="D223" s="509">
        <v>0</v>
      </c>
      <c r="E223" s="509">
        <v>5950</v>
      </c>
      <c r="F223" s="509"/>
      <c r="G223" s="509"/>
      <c r="H223" s="509"/>
      <c r="I223" s="509"/>
      <c r="J223" s="509"/>
      <c r="K223" s="509"/>
      <c r="L223" s="509"/>
      <c r="M223" s="509"/>
    </row>
    <row r="224" spans="1:13" s="51" customFormat="1" ht="15.75">
      <c r="A224" s="508">
        <v>4</v>
      </c>
      <c r="B224" s="509" t="s">
        <v>1418</v>
      </c>
      <c r="C224" s="509">
        <v>4400</v>
      </c>
      <c r="D224" s="509">
        <v>0</v>
      </c>
      <c r="E224" s="509">
        <v>4400</v>
      </c>
      <c r="F224" s="509"/>
      <c r="G224" s="509"/>
      <c r="H224" s="509"/>
      <c r="I224" s="509"/>
      <c r="J224" s="509"/>
      <c r="K224" s="509"/>
      <c r="L224" s="509"/>
      <c r="M224" s="509"/>
    </row>
    <row r="225" spans="1:13" s="51" customFormat="1" ht="15.75">
      <c r="A225" s="508">
        <v>5</v>
      </c>
      <c r="B225" s="509" t="s">
        <v>1419</v>
      </c>
      <c r="C225" s="509">
        <v>3450</v>
      </c>
      <c r="D225" s="509">
        <v>0</v>
      </c>
      <c r="E225" s="509">
        <v>3450</v>
      </c>
      <c r="F225" s="509"/>
      <c r="G225" s="509"/>
      <c r="H225" s="509"/>
      <c r="I225" s="509"/>
      <c r="J225" s="509"/>
      <c r="K225" s="509"/>
      <c r="L225" s="509"/>
      <c r="M225" s="509"/>
    </row>
    <row r="226" spans="1:13" s="51" customFormat="1" ht="15.75">
      <c r="A226" s="508">
        <v>6</v>
      </c>
      <c r="B226" s="509" t="s">
        <v>1420</v>
      </c>
      <c r="C226" s="509">
        <v>2800</v>
      </c>
      <c r="D226" s="509">
        <v>0</v>
      </c>
      <c r="E226" s="509">
        <v>2800</v>
      </c>
      <c r="F226" s="509"/>
      <c r="G226" s="509"/>
      <c r="H226" s="509"/>
      <c r="I226" s="509"/>
      <c r="J226" s="509"/>
      <c r="K226" s="509"/>
      <c r="L226" s="509"/>
      <c r="M226" s="509"/>
    </row>
    <row r="227" spans="1:13" s="51" customFormat="1" ht="15.75">
      <c r="A227" s="508">
        <v>7</v>
      </c>
      <c r="B227" s="509" t="s">
        <v>1421</v>
      </c>
      <c r="C227" s="509">
        <v>1400</v>
      </c>
      <c r="D227" s="509">
        <v>0</v>
      </c>
      <c r="E227" s="509">
        <v>1400</v>
      </c>
      <c r="F227" s="509"/>
      <c r="G227" s="509"/>
      <c r="H227" s="509"/>
      <c r="I227" s="509"/>
      <c r="J227" s="509"/>
      <c r="K227" s="509"/>
      <c r="L227" s="509"/>
      <c r="M227" s="509"/>
    </row>
    <row r="228" spans="1:13" s="51" customFormat="1" ht="15.75">
      <c r="A228" s="508">
        <v>8</v>
      </c>
      <c r="B228" s="509" t="s">
        <v>1422</v>
      </c>
      <c r="C228" s="509">
        <v>1410</v>
      </c>
      <c r="D228" s="509">
        <v>0</v>
      </c>
      <c r="E228" s="509">
        <v>1410</v>
      </c>
      <c r="F228" s="509"/>
      <c r="G228" s="509"/>
      <c r="H228" s="509"/>
      <c r="I228" s="509"/>
      <c r="J228" s="509"/>
      <c r="K228" s="509"/>
      <c r="L228" s="509"/>
      <c r="M228" s="509"/>
    </row>
    <row r="229" spans="1:13" s="51" customFormat="1" ht="15.75">
      <c r="A229" s="508">
        <v>9</v>
      </c>
      <c r="B229" s="509" t="s">
        <v>1709</v>
      </c>
      <c r="C229" s="509">
        <v>1500</v>
      </c>
      <c r="D229" s="509">
        <v>0</v>
      </c>
      <c r="E229" s="509">
        <v>1500</v>
      </c>
      <c r="F229" s="509"/>
      <c r="G229" s="509"/>
      <c r="H229" s="509"/>
      <c r="I229" s="509"/>
      <c r="J229" s="509"/>
      <c r="K229" s="509"/>
      <c r="L229" s="509"/>
      <c r="M229" s="509"/>
    </row>
    <row r="230" spans="1:13" s="51" customFormat="1" ht="15.75">
      <c r="A230" s="508">
        <v>10</v>
      </c>
      <c r="B230" s="509" t="s">
        <v>1423</v>
      </c>
      <c r="C230" s="509">
        <v>1448</v>
      </c>
      <c r="D230" s="509">
        <v>0</v>
      </c>
      <c r="E230" s="509">
        <v>1448</v>
      </c>
      <c r="F230" s="509"/>
      <c r="G230" s="509"/>
      <c r="H230" s="509"/>
      <c r="I230" s="509"/>
      <c r="J230" s="509"/>
      <c r="K230" s="509"/>
      <c r="L230" s="509"/>
      <c r="M230" s="509"/>
    </row>
    <row r="231" spans="1:13" s="51" customFormat="1" ht="15.75">
      <c r="A231" s="508">
        <v>11</v>
      </c>
      <c r="B231" s="509" t="s">
        <v>1424</v>
      </c>
      <c r="C231" s="509">
        <v>841</v>
      </c>
      <c r="D231" s="509">
        <v>0</v>
      </c>
      <c r="E231" s="509">
        <v>841</v>
      </c>
      <c r="F231" s="509"/>
      <c r="G231" s="509"/>
      <c r="H231" s="509"/>
      <c r="I231" s="509"/>
      <c r="J231" s="509"/>
      <c r="K231" s="509"/>
      <c r="L231" s="509"/>
      <c r="M231" s="509"/>
    </row>
    <row r="232" spans="1:13" s="51" customFormat="1" ht="16.5">
      <c r="A232" s="506" t="s">
        <v>590</v>
      </c>
      <c r="B232" s="507" t="s">
        <v>1425</v>
      </c>
      <c r="C232" s="602">
        <v>9500</v>
      </c>
      <c r="D232" s="602">
        <v>0</v>
      </c>
      <c r="E232" s="602">
        <v>9500</v>
      </c>
      <c r="F232" s="602"/>
      <c r="G232" s="602"/>
      <c r="H232" s="602"/>
      <c r="I232" s="602"/>
      <c r="J232" s="602"/>
      <c r="K232" s="602"/>
      <c r="L232" s="602"/>
      <c r="M232" s="602"/>
    </row>
    <row r="233" spans="1:13" s="51" customFormat="1" ht="15.75">
      <c r="A233" s="508">
        <v>1</v>
      </c>
      <c r="B233" s="509" t="s">
        <v>1426</v>
      </c>
      <c r="C233" s="509">
        <v>9500</v>
      </c>
      <c r="D233" s="509">
        <v>0</v>
      </c>
      <c r="E233" s="509">
        <v>9500</v>
      </c>
      <c r="F233" s="509"/>
      <c r="G233" s="509"/>
      <c r="H233" s="509"/>
      <c r="I233" s="509"/>
      <c r="J233" s="509"/>
      <c r="K233" s="509"/>
      <c r="L233" s="509"/>
      <c r="M233" s="509"/>
    </row>
    <row r="234" spans="1:13" s="51" customFormat="1" ht="15.75">
      <c r="A234" s="610" t="s">
        <v>1710</v>
      </c>
      <c r="B234" s="507" t="s">
        <v>1711</v>
      </c>
      <c r="C234" s="507">
        <v>27586</v>
      </c>
      <c r="D234" s="507">
        <v>0</v>
      </c>
      <c r="E234" s="507">
        <v>27586</v>
      </c>
      <c r="F234" s="507"/>
      <c r="G234" s="507"/>
      <c r="H234" s="507"/>
      <c r="I234" s="507"/>
      <c r="J234" s="507"/>
      <c r="K234" s="507"/>
      <c r="L234" s="507"/>
      <c r="M234" s="507"/>
    </row>
    <row r="235" spans="1:13" s="51" customFormat="1" ht="16.5">
      <c r="A235" s="506" t="s">
        <v>1712</v>
      </c>
      <c r="B235" s="507" t="s">
        <v>1427</v>
      </c>
      <c r="C235" s="602">
        <v>14070</v>
      </c>
      <c r="D235" s="602">
        <v>0</v>
      </c>
      <c r="E235" s="602">
        <v>14070</v>
      </c>
      <c r="F235" s="602"/>
      <c r="G235" s="602"/>
      <c r="H235" s="602"/>
      <c r="I235" s="602"/>
      <c r="J235" s="602"/>
      <c r="K235" s="602"/>
      <c r="L235" s="602"/>
      <c r="M235" s="602"/>
    </row>
    <row r="236" spans="1:13" s="51" customFormat="1" ht="15.75">
      <c r="A236" s="508">
        <v>1</v>
      </c>
      <c r="B236" s="509" t="s">
        <v>1428</v>
      </c>
      <c r="C236" s="509">
        <v>13670</v>
      </c>
      <c r="D236" s="509">
        <v>0</v>
      </c>
      <c r="E236" s="509">
        <v>13670</v>
      </c>
      <c r="F236" s="509"/>
      <c r="G236" s="509"/>
      <c r="H236" s="509"/>
      <c r="I236" s="509"/>
      <c r="J236" s="509"/>
      <c r="K236" s="509"/>
      <c r="L236" s="509"/>
      <c r="M236" s="509"/>
    </row>
    <row r="237" spans="1:13" s="51" customFormat="1" ht="15.75">
      <c r="A237" s="508">
        <v>2</v>
      </c>
      <c r="B237" s="509" t="s">
        <v>1713</v>
      </c>
      <c r="C237" s="509">
        <v>400</v>
      </c>
      <c r="D237" s="509">
        <v>0</v>
      </c>
      <c r="E237" s="509">
        <v>400</v>
      </c>
      <c r="F237" s="509"/>
      <c r="G237" s="509"/>
      <c r="H237" s="509"/>
      <c r="I237" s="509"/>
      <c r="J237" s="509"/>
      <c r="K237" s="509"/>
      <c r="L237" s="509"/>
      <c r="M237" s="509"/>
    </row>
    <row r="238" spans="1:13" s="51" customFormat="1" ht="16.5">
      <c r="A238" s="506" t="s">
        <v>1714</v>
      </c>
      <c r="B238" s="507" t="s">
        <v>1715</v>
      </c>
      <c r="C238" s="602">
        <v>37717</v>
      </c>
      <c r="D238" s="602">
        <v>0</v>
      </c>
      <c r="E238" s="602">
        <v>37717</v>
      </c>
      <c r="F238" s="602"/>
      <c r="G238" s="602"/>
      <c r="H238" s="602"/>
      <c r="I238" s="602"/>
      <c r="J238" s="602"/>
      <c r="K238" s="602"/>
      <c r="L238" s="602"/>
      <c r="M238" s="602"/>
    </row>
    <row r="239" spans="1:13" s="51" customFormat="1" ht="15.75">
      <c r="A239" s="508">
        <v>1</v>
      </c>
      <c r="B239" s="290" t="s">
        <v>1716</v>
      </c>
      <c r="C239" s="509">
        <v>12000</v>
      </c>
      <c r="D239" s="290">
        <v>0</v>
      </c>
      <c r="E239" s="290">
        <v>12000</v>
      </c>
      <c r="F239" s="290"/>
      <c r="G239" s="290"/>
      <c r="H239" s="290"/>
      <c r="I239" s="290"/>
      <c r="J239" s="290"/>
      <c r="K239" s="290"/>
      <c r="L239" s="290"/>
      <c r="M239" s="290"/>
    </row>
    <row r="240" spans="1:13" s="51" customFormat="1" ht="15.75">
      <c r="A240" s="508">
        <v>2</v>
      </c>
      <c r="B240" s="509" t="s">
        <v>1717</v>
      </c>
      <c r="C240" s="509">
        <v>1700</v>
      </c>
      <c r="D240" s="509">
        <v>0</v>
      </c>
      <c r="E240" s="509">
        <v>1700</v>
      </c>
      <c r="F240" s="509"/>
      <c r="G240" s="509"/>
      <c r="H240" s="509"/>
      <c r="I240" s="509"/>
      <c r="J240" s="509"/>
      <c r="K240" s="509"/>
      <c r="L240" s="509"/>
      <c r="M240" s="509"/>
    </row>
    <row r="241" spans="1:13" s="51" customFormat="1" ht="15.75">
      <c r="A241" s="508">
        <v>3</v>
      </c>
      <c r="B241" s="509" t="s">
        <v>1718</v>
      </c>
      <c r="C241" s="509">
        <v>5442</v>
      </c>
      <c r="D241" s="509">
        <v>0</v>
      </c>
      <c r="E241" s="509">
        <v>5442</v>
      </c>
      <c r="F241" s="509"/>
      <c r="G241" s="509"/>
      <c r="H241" s="509"/>
      <c r="I241" s="509"/>
      <c r="J241" s="509"/>
      <c r="K241" s="509"/>
      <c r="L241" s="509"/>
      <c r="M241" s="509"/>
    </row>
    <row r="242" spans="1:13" s="51" customFormat="1" ht="15.75">
      <c r="A242" s="508">
        <v>4</v>
      </c>
      <c r="B242" s="509" t="s">
        <v>1719</v>
      </c>
      <c r="C242" s="509">
        <v>14124</v>
      </c>
      <c r="D242" s="509">
        <v>0</v>
      </c>
      <c r="E242" s="509">
        <v>14124</v>
      </c>
      <c r="F242" s="509"/>
      <c r="G242" s="509"/>
      <c r="H242" s="509"/>
      <c r="I242" s="509"/>
      <c r="J242" s="509"/>
      <c r="K242" s="509"/>
      <c r="L242" s="509"/>
      <c r="M242" s="509"/>
    </row>
    <row r="243" spans="1:13" s="51" customFormat="1" ht="15.75">
      <c r="A243" s="508">
        <v>5</v>
      </c>
      <c r="B243" s="509" t="s">
        <v>1267</v>
      </c>
      <c r="C243" s="509">
        <v>277</v>
      </c>
      <c r="D243" s="509">
        <v>0</v>
      </c>
      <c r="E243" s="509">
        <v>277</v>
      </c>
      <c r="F243" s="509"/>
      <c r="G243" s="509"/>
      <c r="H243" s="509"/>
      <c r="I243" s="509"/>
      <c r="J243" s="509"/>
      <c r="K243" s="509"/>
      <c r="L243" s="509"/>
      <c r="M243" s="509"/>
    </row>
    <row r="244" spans="1:13" s="51" customFormat="1" ht="15.75">
      <c r="A244" s="508">
        <v>6</v>
      </c>
      <c r="B244" s="509" t="s">
        <v>1720</v>
      </c>
      <c r="C244" s="509">
        <v>774</v>
      </c>
      <c r="D244" s="509">
        <v>0</v>
      </c>
      <c r="E244" s="509">
        <v>774</v>
      </c>
      <c r="F244" s="509"/>
      <c r="G244" s="509"/>
      <c r="H244" s="509"/>
      <c r="I244" s="509"/>
      <c r="J244" s="509"/>
      <c r="K244" s="509"/>
      <c r="L244" s="509"/>
      <c r="M244" s="509"/>
    </row>
    <row r="245" spans="1:13" s="51" customFormat="1" ht="15.75">
      <c r="A245" s="508">
        <v>7</v>
      </c>
      <c r="B245" s="509" t="s">
        <v>1721</v>
      </c>
      <c r="C245" s="509">
        <v>200</v>
      </c>
      <c r="D245" s="509">
        <v>0</v>
      </c>
      <c r="E245" s="509">
        <v>200</v>
      </c>
      <c r="F245" s="509"/>
      <c r="G245" s="509"/>
      <c r="H245" s="509"/>
      <c r="I245" s="509"/>
      <c r="J245" s="509"/>
      <c r="K245" s="509"/>
      <c r="L245" s="509"/>
      <c r="M245" s="509"/>
    </row>
    <row r="246" spans="1:13" s="51" customFormat="1" ht="15.75">
      <c r="A246" s="508">
        <v>8</v>
      </c>
      <c r="B246" s="509" t="s">
        <v>1722</v>
      </c>
      <c r="C246" s="509">
        <v>3000</v>
      </c>
      <c r="D246" s="509">
        <v>0</v>
      </c>
      <c r="E246" s="509">
        <v>3000</v>
      </c>
      <c r="F246" s="509"/>
      <c r="G246" s="509"/>
      <c r="H246" s="509"/>
      <c r="I246" s="509"/>
      <c r="J246" s="509"/>
      <c r="K246" s="509"/>
      <c r="L246" s="509"/>
      <c r="M246" s="509"/>
    </row>
    <row r="247" spans="1:13" s="51" customFormat="1" ht="15.75">
      <c r="A247" s="508">
        <v>9</v>
      </c>
      <c r="B247" s="509" t="s">
        <v>1723</v>
      </c>
      <c r="C247" s="509">
        <v>200</v>
      </c>
      <c r="D247" s="509">
        <v>0</v>
      </c>
      <c r="E247" s="509">
        <v>200</v>
      </c>
      <c r="F247" s="509"/>
      <c r="G247" s="509"/>
      <c r="H247" s="509"/>
      <c r="I247" s="509"/>
      <c r="J247" s="509"/>
      <c r="K247" s="509"/>
      <c r="L247" s="509"/>
      <c r="M247" s="509"/>
    </row>
    <row r="248" spans="1:13" s="39" customFormat="1" ht="15.75" hidden="1">
      <c r="A248" s="76"/>
      <c r="B248" s="221"/>
      <c r="C248" s="158" t="e">
        <f t="shared" ref="C248:C249" si="0">D248+E248+F248+G248+H248+I248+J248+M248</f>
        <v>#REF!</v>
      </c>
      <c r="D248" s="158">
        <f>'36-Chi DT tung CQ 2018'!C69</f>
        <v>0</v>
      </c>
      <c r="E248" s="158" t="e">
        <f>+'53-CK NSNN'!#REF!</f>
        <v>#REF!</v>
      </c>
      <c r="F248" s="158"/>
      <c r="G248" s="158"/>
      <c r="H248" s="158"/>
      <c r="I248" s="158"/>
      <c r="J248" s="158"/>
      <c r="K248" s="158"/>
      <c r="L248" s="158"/>
      <c r="M248" s="158"/>
    </row>
    <row r="249" spans="1:13" s="39" customFormat="1" ht="15.75" hidden="1">
      <c r="A249" s="76"/>
      <c r="B249" s="77"/>
      <c r="C249" s="158" t="e">
        <f t="shared" si="0"/>
        <v>#REF!</v>
      </c>
      <c r="D249" s="158">
        <f>'36-Chi DT tung CQ 2018'!C70</f>
        <v>0</v>
      </c>
      <c r="E249" s="158" t="e">
        <f>+'53-CK NSNN'!#REF!</f>
        <v>#REF!</v>
      </c>
      <c r="F249" s="158"/>
      <c r="G249" s="158"/>
      <c r="H249" s="158"/>
      <c r="I249" s="158"/>
      <c r="J249" s="158"/>
      <c r="K249" s="158"/>
      <c r="L249" s="158"/>
      <c r="M249" s="158"/>
    </row>
    <row r="250" spans="1:13" s="39" customFormat="1" ht="15.75" hidden="1">
      <c r="A250" s="76"/>
      <c r="B250" s="77"/>
      <c r="C250" s="158"/>
      <c r="D250" s="158"/>
      <c r="E250" s="158"/>
      <c r="F250" s="158"/>
      <c r="G250" s="158"/>
      <c r="H250" s="158"/>
      <c r="I250" s="158"/>
      <c r="J250" s="158"/>
      <c r="K250" s="158"/>
      <c r="L250" s="158"/>
      <c r="M250" s="158"/>
    </row>
    <row r="251" spans="1:13" s="39" customFormat="1" ht="15.75" hidden="1">
      <c r="A251" s="76"/>
      <c r="B251" s="77"/>
      <c r="C251" s="158"/>
      <c r="D251" s="158"/>
      <c r="E251" s="158"/>
      <c r="F251" s="158"/>
      <c r="G251" s="158"/>
      <c r="H251" s="158"/>
      <c r="I251" s="158"/>
      <c r="J251" s="158"/>
      <c r="K251" s="158"/>
      <c r="L251" s="158"/>
      <c r="M251" s="158"/>
    </row>
    <row r="252" spans="1:13" s="101" customFormat="1" ht="31.5">
      <c r="A252" s="74" t="s">
        <v>70</v>
      </c>
      <c r="B252" s="427" t="s">
        <v>1326</v>
      </c>
      <c r="C252" s="168"/>
      <c r="D252" s="168"/>
      <c r="E252" s="168"/>
      <c r="F252" s="168">
        <f>'18-Boi chi'!E64</f>
        <v>22624</v>
      </c>
      <c r="G252" s="168"/>
      <c r="H252" s="168"/>
      <c r="I252" s="168"/>
      <c r="J252" s="168"/>
      <c r="K252" s="168"/>
      <c r="L252" s="168"/>
      <c r="M252" s="168"/>
    </row>
    <row r="253" spans="1:13" s="101" customFormat="1" ht="15.75">
      <c r="A253" s="74" t="s">
        <v>73</v>
      </c>
      <c r="B253" s="427" t="s">
        <v>1327</v>
      </c>
      <c r="C253" s="168"/>
      <c r="D253" s="168"/>
      <c r="E253" s="168"/>
      <c r="F253" s="168"/>
      <c r="G253" s="168">
        <f>'49-CK NSNN'!D39</f>
        <v>1260</v>
      </c>
      <c r="H253" s="168"/>
      <c r="I253" s="168"/>
      <c r="J253" s="168"/>
      <c r="K253" s="168"/>
      <c r="L253" s="168"/>
      <c r="M253" s="168"/>
    </row>
    <row r="254" spans="1:13" s="101" customFormat="1" ht="15.75">
      <c r="A254" s="74" t="s">
        <v>77</v>
      </c>
      <c r="B254" s="427" t="s">
        <v>588</v>
      </c>
      <c r="C254" s="168"/>
      <c r="D254" s="168"/>
      <c r="E254" s="168"/>
      <c r="F254" s="168"/>
      <c r="G254" s="168"/>
      <c r="H254" s="168">
        <f>'49-CK NSNN'!D40</f>
        <v>96959</v>
      </c>
      <c r="I254" s="168"/>
      <c r="J254" s="168"/>
      <c r="K254" s="168"/>
      <c r="L254" s="168"/>
      <c r="M254" s="168"/>
    </row>
    <row r="255" spans="1:13" s="101" customFormat="1" ht="15.75">
      <c r="A255" s="74" t="s">
        <v>113</v>
      </c>
      <c r="B255" s="427" t="s">
        <v>589</v>
      </c>
      <c r="C255" s="168"/>
      <c r="D255" s="168"/>
      <c r="E255" s="168"/>
      <c r="F255" s="168"/>
      <c r="G255" s="168"/>
      <c r="H255" s="168"/>
      <c r="I255" s="168">
        <f>'49-CK NSNN'!D41</f>
        <v>335292</v>
      </c>
      <c r="J255" s="168"/>
      <c r="K255" s="168"/>
      <c r="L255" s="168"/>
      <c r="M255" s="168"/>
    </row>
    <row r="256" spans="1:13" s="101" customFormat="1" ht="31.5">
      <c r="A256" s="74" t="s">
        <v>396</v>
      </c>
      <c r="B256" s="427" t="s">
        <v>1325</v>
      </c>
      <c r="C256" s="168"/>
      <c r="D256" s="168"/>
      <c r="E256" s="168"/>
      <c r="F256" s="168"/>
      <c r="G256" s="168"/>
      <c r="H256" s="168"/>
      <c r="I256" s="168"/>
      <c r="J256" s="168"/>
      <c r="K256" s="168"/>
      <c r="L256" s="168"/>
      <c r="M256" s="168"/>
    </row>
    <row r="257" spans="1:13" s="101" customFormat="1" ht="31.5">
      <c r="A257" s="79" t="s">
        <v>590</v>
      </c>
      <c r="B257" s="80" t="s">
        <v>526</v>
      </c>
      <c r="C257" s="172"/>
      <c r="D257" s="172"/>
      <c r="E257" s="172"/>
      <c r="F257" s="172"/>
      <c r="G257" s="172"/>
      <c r="H257" s="172"/>
      <c r="I257" s="172"/>
      <c r="J257" s="172"/>
      <c r="K257" s="172"/>
      <c r="L257" s="172"/>
      <c r="M257" s="172"/>
    </row>
    <row r="258" spans="1:13" ht="15.75">
      <c r="A258" s="28" t="s">
        <v>276</v>
      </c>
    </row>
    <row r="259" spans="1:13" s="39" customFormat="1" ht="15.75">
      <c r="A259" s="34" t="s">
        <v>529</v>
      </c>
    </row>
    <row r="260" spans="1:13" ht="15.75">
      <c r="A260" s="34" t="s">
        <v>591</v>
      </c>
    </row>
    <row r="263" spans="1:13">
      <c r="B263" s="579" t="s">
        <v>1547</v>
      </c>
      <c r="C263" s="580">
        <f>+C53+C52+C49+C48+C47+C38+C37</f>
        <v>38700</v>
      </c>
    </row>
    <row r="264" spans="1:13">
      <c r="B264" s="579" t="s">
        <v>1548</v>
      </c>
      <c r="C264" s="580">
        <f>+C10-C263</f>
        <v>3131707</v>
      </c>
      <c r="D264" t="s">
        <v>1549</v>
      </c>
    </row>
  </sheetData>
  <customSheetViews>
    <customSheetView guid="{9F606621-8853-4836-9A7E-DBA5CF152671}" showPageBreaks="1">
      <pane ySplit="6" topLeftCell="A28" activePane="bottomLeft"/>
      <selection pane="bottomLeft" activeCell="B32" sqref="B32"/>
      <pageMargins left="0.7" right="0.7" top="0.75" bottom="0.75" header="0.3" footer="0.3"/>
      <pageSetup orientation="portrait" r:id="rId1"/>
    </customSheetView>
    <customSheetView guid="{DB9039ED-C6EA-422D-9A5D-D152D95EDC67}" showPageBreaks="1" hiddenRows="1" topLeftCell="B1">
      <selection activeCell="D8" sqref="D8"/>
      <pageMargins left="0.9055118110236221" right="0.31496062992125984" top="0.74803149606299213" bottom="0.74803149606299213" header="0.31496062992125984" footer="0.31496062992125984"/>
      <printOptions horizontalCentered="1"/>
      <pageSetup paperSize="9" scale="75" orientation="landscape" r:id="rId2"/>
    </customSheetView>
  </customSheetViews>
  <mergeCells count="15">
    <mergeCell ref="A1:B1"/>
    <mergeCell ref="A2:B2"/>
    <mergeCell ref="A3:M3"/>
    <mergeCell ref="A4:M4"/>
    <mergeCell ref="A6:A7"/>
    <mergeCell ref="B6:B7"/>
    <mergeCell ref="C6:C7"/>
    <mergeCell ref="D6:D7"/>
    <mergeCell ref="E6:E7"/>
    <mergeCell ref="F6:F7"/>
    <mergeCell ref="G6:G7"/>
    <mergeCell ref="H6:H7"/>
    <mergeCell ref="I6:I7"/>
    <mergeCell ref="J6:L6"/>
    <mergeCell ref="M6:M7"/>
  </mergeCells>
  <pageMargins left="0.51" right="0.15748031496062992" top="0.19685039370078741" bottom="0.15748031496062992" header="0.15748031496062992" footer="0.15748031496062992"/>
  <pageSetup paperSize="9" scale="80" orientation="landscape" r:id="rId3"/>
  <legacyDrawing r:id="rId4"/>
</worksheet>
</file>

<file path=xl/worksheets/sheet36.xml><?xml version="1.0" encoding="utf-8"?>
<worksheet xmlns="http://schemas.openxmlformats.org/spreadsheetml/2006/main" xmlns:r="http://schemas.openxmlformats.org/officeDocument/2006/relationships">
  <sheetPr>
    <tabColor rgb="FF002060"/>
  </sheetPr>
  <dimension ref="A1:R71"/>
  <sheetViews>
    <sheetView topLeftCell="A4" workbookViewId="0">
      <selection activeCell="H11" sqref="H11"/>
    </sheetView>
  </sheetViews>
  <sheetFormatPr defaultRowHeight="15"/>
  <cols>
    <col min="1" max="1" width="6.28515625" customWidth="1"/>
    <col min="2" max="2" width="34" customWidth="1"/>
  </cols>
  <sheetData>
    <row r="1" spans="1:18" ht="15.75">
      <c r="R1" s="26" t="s">
        <v>592</v>
      </c>
    </row>
    <row r="2" spans="1:18" ht="15.75">
      <c r="A2" s="774" t="s">
        <v>852</v>
      </c>
      <c r="B2" s="774"/>
      <c r="C2" s="774"/>
      <c r="D2" s="774"/>
      <c r="E2" s="774"/>
      <c r="F2" s="774"/>
      <c r="G2" s="774"/>
      <c r="H2" s="774"/>
      <c r="I2" s="774"/>
      <c r="J2" s="774"/>
      <c r="K2" s="774"/>
      <c r="L2" s="774"/>
      <c r="M2" s="774"/>
      <c r="N2" s="774"/>
      <c r="O2" s="774"/>
      <c r="P2" s="774"/>
      <c r="Q2" s="774"/>
      <c r="R2" s="774"/>
    </row>
    <row r="3" spans="1:18" ht="15.75">
      <c r="A3" s="774" t="s">
        <v>126</v>
      </c>
      <c r="B3" s="774"/>
      <c r="C3" s="774"/>
      <c r="D3" s="774"/>
      <c r="E3" s="774"/>
      <c r="F3" s="774"/>
      <c r="G3" s="774"/>
      <c r="H3" s="774"/>
      <c r="I3" s="774"/>
      <c r="J3" s="774"/>
      <c r="K3" s="774"/>
      <c r="L3" s="774"/>
      <c r="M3" s="774"/>
      <c r="N3" s="774"/>
      <c r="O3" s="774"/>
      <c r="P3" s="774"/>
      <c r="Q3" s="774"/>
      <c r="R3" s="774"/>
    </row>
    <row r="4" spans="1:18" ht="15.75">
      <c r="R4" s="27" t="s">
        <v>56</v>
      </c>
    </row>
    <row r="5" spans="1:18" ht="15.75">
      <c r="A5" s="773" t="s">
        <v>3</v>
      </c>
      <c r="B5" s="773" t="s">
        <v>161</v>
      </c>
      <c r="C5" s="773" t="s">
        <v>130</v>
      </c>
      <c r="D5" s="773" t="s">
        <v>389</v>
      </c>
      <c r="E5" s="773" t="s">
        <v>390</v>
      </c>
      <c r="F5" s="773" t="s">
        <v>505</v>
      </c>
      <c r="G5" s="773" t="s">
        <v>506</v>
      </c>
      <c r="H5" s="773" t="s">
        <v>507</v>
      </c>
      <c r="I5" s="773" t="s">
        <v>508</v>
      </c>
      <c r="J5" s="773" t="s">
        <v>509</v>
      </c>
      <c r="K5" s="773" t="s">
        <v>510</v>
      </c>
      <c r="L5" s="773" t="s">
        <v>511</v>
      </c>
      <c r="M5" s="773" t="s">
        <v>512</v>
      </c>
      <c r="N5" s="773" t="s">
        <v>162</v>
      </c>
      <c r="O5" s="773"/>
      <c r="P5" s="773" t="s">
        <v>513</v>
      </c>
      <c r="Q5" s="773" t="s">
        <v>514</v>
      </c>
      <c r="R5" s="773" t="s">
        <v>515</v>
      </c>
    </row>
    <row r="6" spans="1:18" ht="110.25">
      <c r="A6" s="773"/>
      <c r="B6" s="773"/>
      <c r="C6" s="773"/>
      <c r="D6" s="773"/>
      <c r="E6" s="773"/>
      <c r="F6" s="773"/>
      <c r="G6" s="773"/>
      <c r="H6" s="773"/>
      <c r="I6" s="773"/>
      <c r="J6" s="773"/>
      <c r="K6" s="773"/>
      <c r="L6" s="773"/>
      <c r="M6" s="773"/>
      <c r="N6" s="30" t="s">
        <v>531</v>
      </c>
      <c r="O6" s="30" t="s">
        <v>532</v>
      </c>
      <c r="P6" s="773"/>
      <c r="Q6" s="773"/>
      <c r="R6" s="773"/>
    </row>
    <row r="7" spans="1:18"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row>
    <row r="8" spans="1:18" ht="32.25" customHeight="1">
      <c r="A8" s="71"/>
      <c r="B8" s="72" t="s">
        <v>133</v>
      </c>
      <c r="C8" s="190">
        <f>+C9+C33+C44+C49+C48</f>
        <v>0</v>
      </c>
      <c r="D8" s="190">
        <f t="shared" ref="D8:R8" si="0">+D9+D33+D44+D49+D48</f>
        <v>0</v>
      </c>
      <c r="E8" s="190">
        <f t="shared" si="0"/>
        <v>0</v>
      </c>
      <c r="F8" s="190">
        <f t="shared" si="0"/>
        <v>0</v>
      </c>
      <c r="G8" s="190">
        <f t="shared" si="0"/>
        <v>0</v>
      </c>
      <c r="H8" s="190">
        <f t="shared" si="0"/>
        <v>0</v>
      </c>
      <c r="I8" s="190">
        <f t="shared" si="0"/>
        <v>0</v>
      </c>
      <c r="J8" s="190">
        <f t="shared" si="0"/>
        <v>0</v>
      </c>
      <c r="K8" s="190">
        <f t="shared" si="0"/>
        <v>0</v>
      </c>
      <c r="L8" s="190">
        <f t="shared" si="0"/>
        <v>0</v>
      </c>
      <c r="M8" s="190">
        <f t="shared" si="0"/>
        <v>0</v>
      </c>
      <c r="N8" s="190">
        <f t="shared" si="0"/>
        <v>0</v>
      </c>
      <c r="O8" s="190">
        <f t="shared" si="0"/>
        <v>0</v>
      </c>
      <c r="P8" s="190">
        <f t="shared" si="0"/>
        <v>0</v>
      </c>
      <c r="Q8" s="190">
        <f t="shared" si="0"/>
        <v>0</v>
      </c>
      <c r="R8" s="190">
        <f t="shared" si="0"/>
        <v>0</v>
      </c>
    </row>
    <row r="9" spans="1:18" ht="32.25" customHeight="1">
      <c r="A9" s="189" t="s">
        <v>83</v>
      </c>
      <c r="B9" s="216" t="s">
        <v>988</v>
      </c>
      <c r="C9" s="223">
        <f>C10+C11+C12+C13+C14+C15+C16+C17+C18+C19+C20+C21+C22+C23+C24+C25+C26+C27+C28+C29+C30+C31</f>
        <v>0</v>
      </c>
      <c r="D9" s="223">
        <f t="shared" ref="D9:R9" si="1">D10+D11+D12+D13+D14+D15+D16+D17+D18+D19+D20+D21+D22+D23+D24+D25+D26+D27+D28+D29+D30+D31</f>
        <v>0</v>
      </c>
      <c r="E9" s="223">
        <f t="shared" si="1"/>
        <v>0</v>
      </c>
      <c r="F9" s="223">
        <f t="shared" si="1"/>
        <v>0</v>
      </c>
      <c r="G9" s="223">
        <f t="shared" si="1"/>
        <v>0</v>
      </c>
      <c r="H9" s="223">
        <f t="shared" si="1"/>
        <v>0</v>
      </c>
      <c r="I9" s="223">
        <f t="shared" si="1"/>
        <v>0</v>
      </c>
      <c r="J9" s="223">
        <f t="shared" si="1"/>
        <v>0</v>
      </c>
      <c r="K9" s="223">
        <f t="shared" si="1"/>
        <v>0</v>
      </c>
      <c r="L9" s="223">
        <f t="shared" si="1"/>
        <v>0</v>
      </c>
      <c r="M9" s="223">
        <f t="shared" si="1"/>
        <v>0</v>
      </c>
      <c r="N9" s="223">
        <f t="shared" si="1"/>
        <v>0</v>
      </c>
      <c r="O9" s="223">
        <f t="shared" si="1"/>
        <v>0</v>
      </c>
      <c r="P9" s="223">
        <f t="shared" si="1"/>
        <v>0</v>
      </c>
      <c r="Q9" s="223">
        <f t="shared" si="1"/>
        <v>0</v>
      </c>
      <c r="R9" s="223">
        <f t="shared" si="1"/>
        <v>0</v>
      </c>
    </row>
    <row r="10" spans="1:18" ht="32.25" customHeight="1">
      <c r="A10" s="76">
        <v>1</v>
      </c>
      <c r="B10" s="77" t="s">
        <v>999</v>
      </c>
      <c r="C10" s="223">
        <f>D10+E10+F10+G10+H10+I10+J10+K10+L10+M10+P10+Q10+R10</f>
        <v>0</v>
      </c>
      <c r="D10" s="223"/>
      <c r="E10" s="223"/>
      <c r="F10" s="223"/>
      <c r="G10" s="223"/>
      <c r="H10" s="223"/>
      <c r="I10" s="223"/>
      <c r="J10" s="223"/>
      <c r="K10" s="223"/>
      <c r="L10" s="223"/>
      <c r="M10" s="223"/>
      <c r="N10" s="223"/>
      <c r="O10" s="223"/>
      <c r="P10" s="223"/>
      <c r="Q10" s="223"/>
      <c r="R10" s="223"/>
    </row>
    <row r="11" spans="1:18" ht="32.25" customHeight="1">
      <c r="A11" s="76">
        <v>2</v>
      </c>
      <c r="B11" s="77" t="s">
        <v>1000</v>
      </c>
      <c r="C11" s="223">
        <f t="shared" ref="C11:C70" si="2">D11+E11+F11+G11+H11+I11+J11+K11+L11+M11+P11+Q11+R11</f>
        <v>0</v>
      </c>
      <c r="D11" s="223"/>
      <c r="E11" s="223"/>
      <c r="F11" s="223"/>
      <c r="G11" s="223"/>
      <c r="H11" s="223"/>
      <c r="I11" s="223"/>
      <c r="J11" s="223"/>
      <c r="K11" s="223"/>
      <c r="L11" s="223"/>
      <c r="M11" s="223"/>
      <c r="N11" s="223"/>
      <c r="O11" s="223"/>
      <c r="P11" s="223"/>
      <c r="Q11" s="223"/>
      <c r="R11" s="223"/>
    </row>
    <row r="12" spans="1:18" ht="32.25" customHeight="1">
      <c r="A12" s="76">
        <v>3</v>
      </c>
      <c r="B12" s="77" t="s">
        <v>1001</v>
      </c>
      <c r="C12" s="223">
        <f t="shared" si="2"/>
        <v>0</v>
      </c>
      <c r="D12" s="223"/>
      <c r="E12" s="223"/>
      <c r="F12" s="223"/>
      <c r="G12" s="223"/>
      <c r="H12" s="223"/>
      <c r="I12" s="223"/>
      <c r="J12" s="223"/>
      <c r="K12" s="223"/>
      <c r="L12" s="223"/>
      <c r="M12" s="223"/>
      <c r="N12" s="223"/>
      <c r="O12" s="223"/>
      <c r="P12" s="223"/>
      <c r="Q12" s="223"/>
      <c r="R12" s="223"/>
    </row>
    <row r="13" spans="1:18" ht="32.25" customHeight="1">
      <c r="A13" s="76">
        <v>4</v>
      </c>
      <c r="B13" s="77" t="s">
        <v>1002</v>
      </c>
      <c r="C13" s="223">
        <f t="shared" si="2"/>
        <v>0</v>
      </c>
      <c r="D13" s="223"/>
      <c r="E13" s="223"/>
      <c r="F13" s="223"/>
      <c r="G13" s="223"/>
      <c r="H13" s="223"/>
      <c r="I13" s="223"/>
      <c r="J13" s="223"/>
      <c r="K13" s="223"/>
      <c r="L13" s="223"/>
      <c r="M13" s="223"/>
      <c r="N13" s="223"/>
      <c r="O13" s="223"/>
      <c r="P13" s="223"/>
      <c r="Q13" s="223"/>
      <c r="R13" s="223"/>
    </row>
    <row r="14" spans="1:18" ht="32.25" customHeight="1">
      <c r="A14" s="76">
        <v>5</v>
      </c>
      <c r="B14" s="77" t="s">
        <v>1003</v>
      </c>
      <c r="C14" s="223">
        <f t="shared" si="2"/>
        <v>0</v>
      </c>
      <c r="D14" s="223"/>
      <c r="E14" s="223"/>
      <c r="F14" s="223"/>
      <c r="G14" s="223"/>
      <c r="H14" s="223"/>
      <c r="I14" s="223"/>
      <c r="J14" s="223"/>
      <c r="K14" s="223"/>
      <c r="L14" s="223"/>
      <c r="M14" s="223"/>
      <c r="N14" s="223"/>
      <c r="O14" s="223"/>
      <c r="P14" s="223"/>
      <c r="Q14" s="223"/>
      <c r="R14" s="223"/>
    </row>
    <row r="15" spans="1:18" ht="32.25" customHeight="1">
      <c r="A15" s="76">
        <v>6</v>
      </c>
      <c r="B15" s="77" t="s">
        <v>1004</v>
      </c>
      <c r="C15" s="223">
        <f t="shared" si="2"/>
        <v>0</v>
      </c>
      <c r="D15" s="223"/>
      <c r="E15" s="223"/>
      <c r="F15" s="223"/>
      <c r="G15" s="223"/>
      <c r="H15" s="223"/>
      <c r="I15" s="223"/>
      <c r="J15" s="223"/>
      <c r="K15" s="223"/>
      <c r="L15" s="223"/>
      <c r="M15" s="223"/>
      <c r="N15" s="223"/>
      <c r="O15" s="223"/>
      <c r="P15" s="223"/>
      <c r="Q15" s="223"/>
      <c r="R15" s="223"/>
    </row>
    <row r="16" spans="1:18" ht="32.25" customHeight="1">
      <c r="A16" s="76">
        <v>7</v>
      </c>
      <c r="B16" s="77" t="s">
        <v>1005</v>
      </c>
      <c r="C16" s="223">
        <f t="shared" si="2"/>
        <v>0</v>
      </c>
      <c r="D16" s="223"/>
      <c r="E16" s="223"/>
      <c r="F16" s="223"/>
      <c r="G16" s="223"/>
      <c r="H16" s="223"/>
      <c r="I16" s="223"/>
      <c r="J16" s="223"/>
      <c r="K16" s="223"/>
      <c r="L16" s="223"/>
      <c r="M16" s="223"/>
      <c r="N16" s="223"/>
      <c r="O16" s="223"/>
      <c r="P16" s="223"/>
      <c r="Q16" s="223"/>
      <c r="R16" s="223"/>
    </row>
    <row r="17" spans="1:18" ht="32.25" customHeight="1">
      <c r="A17" s="76">
        <v>8</v>
      </c>
      <c r="B17" s="77" t="s">
        <v>1006</v>
      </c>
      <c r="C17" s="223">
        <f t="shared" si="2"/>
        <v>0</v>
      </c>
      <c r="D17" s="223"/>
      <c r="E17" s="223"/>
      <c r="F17" s="223"/>
      <c r="G17" s="223"/>
      <c r="H17" s="223"/>
      <c r="I17" s="223"/>
      <c r="J17" s="223"/>
      <c r="K17" s="223"/>
      <c r="L17" s="223"/>
      <c r="M17" s="223"/>
      <c r="N17" s="223"/>
      <c r="O17" s="223"/>
      <c r="P17" s="223"/>
      <c r="Q17" s="223"/>
      <c r="R17" s="223"/>
    </row>
    <row r="18" spans="1:18" ht="32.25" customHeight="1">
      <c r="A18" s="76">
        <v>9</v>
      </c>
      <c r="B18" s="77" t="s">
        <v>1007</v>
      </c>
      <c r="C18" s="223">
        <f t="shared" si="2"/>
        <v>0</v>
      </c>
      <c r="D18" s="223"/>
      <c r="E18" s="223"/>
      <c r="F18" s="223"/>
      <c r="G18" s="223"/>
      <c r="H18" s="223"/>
      <c r="I18" s="223"/>
      <c r="J18" s="223"/>
      <c r="K18" s="223"/>
      <c r="L18" s="223"/>
      <c r="M18" s="223"/>
      <c r="N18" s="223"/>
      <c r="O18" s="223"/>
      <c r="P18" s="223"/>
      <c r="Q18" s="223"/>
      <c r="R18" s="223"/>
    </row>
    <row r="19" spans="1:18" ht="32.25" customHeight="1">
      <c r="A19" s="76">
        <v>10</v>
      </c>
      <c r="B19" s="77" t="s">
        <v>1008</v>
      </c>
      <c r="C19" s="223">
        <f t="shared" si="2"/>
        <v>0</v>
      </c>
      <c r="D19" s="223"/>
      <c r="E19" s="223"/>
      <c r="F19" s="223"/>
      <c r="G19" s="223"/>
      <c r="H19" s="223"/>
      <c r="I19" s="223"/>
      <c r="J19" s="223"/>
      <c r="K19" s="223"/>
      <c r="L19" s="223"/>
      <c r="M19" s="223"/>
      <c r="N19" s="223"/>
      <c r="O19" s="223"/>
      <c r="P19" s="223"/>
      <c r="Q19" s="223"/>
      <c r="R19" s="223"/>
    </row>
    <row r="20" spans="1:18" ht="32.25" customHeight="1">
      <c r="A20" s="76">
        <v>11</v>
      </c>
      <c r="B20" s="77" t="s">
        <v>1009</v>
      </c>
      <c r="C20" s="223">
        <f t="shared" si="2"/>
        <v>0</v>
      </c>
      <c r="D20" s="223"/>
      <c r="E20" s="223"/>
      <c r="F20" s="223"/>
      <c r="G20" s="223"/>
      <c r="H20" s="223"/>
      <c r="I20" s="223"/>
      <c r="J20" s="223"/>
      <c r="K20" s="223"/>
      <c r="L20" s="223"/>
      <c r="M20" s="223"/>
      <c r="N20" s="223"/>
      <c r="O20" s="223"/>
      <c r="P20" s="223"/>
      <c r="Q20" s="223"/>
      <c r="R20" s="223"/>
    </row>
    <row r="21" spans="1:18" ht="32.25" customHeight="1">
      <c r="A21" s="76">
        <v>12</v>
      </c>
      <c r="B21" s="77" t="s">
        <v>1010</v>
      </c>
      <c r="C21" s="223">
        <f t="shared" si="2"/>
        <v>0</v>
      </c>
      <c r="D21" s="223"/>
      <c r="E21" s="223"/>
      <c r="F21" s="223"/>
      <c r="G21" s="223"/>
      <c r="H21" s="223"/>
      <c r="I21" s="223"/>
      <c r="J21" s="223"/>
      <c r="K21" s="223"/>
      <c r="L21" s="223"/>
      <c r="M21" s="223"/>
      <c r="N21" s="223"/>
      <c r="O21" s="223"/>
      <c r="P21" s="223"/>
      <c r="Q21" s="223"/>
      <c r="R21" s="223"/>
    </row>
    <row r="22" spans="1:18" ht="32.25" customHeight="1">
      <c r="A22" s="76">
        <v>13</v>
      </c>
      <c r="B22" s="77" t="s">
        <v>1011</v>
      </c>
      <c r="C22" s="223">
        <f t="shared" si="2"/>
        <v>0</v>
      </c>
      <c r="D22" s="223"/>
      <c r="E22" s="223"/>
      <c r="F22" s="223"/>
      <c r="G22" s="223"/>
      <c r="H22" s="223"/>
      <c r="I22" s="223"/>
      <c r="J22" s="223"/>
      <c r="K22" s="223"/>
      <c r="L22" s="223"/>
      <c r="M22" s="223"/>
      <c r="N22" s="223"/>
      <c r="O22" s="223"/>
      <c r="P22" s="223"/>
      <c r="Q22" s="223"/>
      <c r="R22" s="223"/>
    </row>
    <row r="23" spans="1:18" ht="32.25" customHeight="1">
      <c r="A23" s="76">
        <v>14</v>
      </c>
      <c r="B23" s="77" t="s">
        <v>1012</v>
      </c>
      <c r="C23" s="223">
        <f t="shared" si="2"/>
        <v>0</v>
      </c>
      <c r="D23" s="223"/>
      <c r="E23" s="223"/>
      <c r="F23" s="223"/>
      <c r="G23" s="223"/>
      <c r="H23" s="223"/>
      <c r="I23" s="223"/>
      <c r="J23" s="223"/>
      <c r="K23" s="223"/>
      <c r="L23" s="223"/>
      <c r="M23" s="223"/>
      <c r="N23" s="223"/>
      <c r="O23" s="223"/>
      <c r="P23" s="223"/>
      <c r="Q23" s="223"/>
      <c r="R23" s="223"/>
    </row>
    <row r="24" spans="1:18" ht="32.25" customHeight="1">
      <c r="A24" s="76">
        <v>15</v>
      </c>
      <c r="B24" s="77" t="s">
        <v>1013</v>
      </c>
      <c r="C24" s="223">
        <f t="shared" si="2"/>
        <v>0</v>
      </c>
      <c r="D24" s="223"/>
      <c r="E24" s="223"/>
      <c r="F24" s="223"/>
      <c r="G24" s="223"/>
      <c r="H24" s="223"/>
      <c r="I24" s="223"/>
      <c r="J24" s="223"/>
      <c r="K24" s="223"/>
      <c r="L24" s="223"/>
      <c r="M24" s="223"/>
      <c r="N24" s="223"/>
      <c r="O24" s="223"/>
      <c r="P24" s="223"/>
      <c r="Q24" s="223"/>
      <c r="R24" s="223"/>
    </row>
    <row r="25" spans="1:18" ht="32.25" customHeight="1">
      <c r="A25" s="76">
        <v>16</v>
      </c>
      <c r="B25" s="77" t="s">
        <v>1014</v>
      </c>
      <c r="C25" s="223">
        <f t="shared" si="2"/>
        <v>0</v>
      </c>
      <c r="D25" s="223"/>
      <c r="E25" s="223"/>
      <c r="F25" s="223"/>
      <c r="G25" s="223"/>
      <c r="H25" s="223"/>
      <c r="I25" s="223"/>
      <c r="J25" s="223"/>
      <c r="K25" s="223"/>
      <c r="L25" s="223"/>
      <c r="M25" s="223"/>
      <c r="N25" s="223"/>
      <c r="O25" s="223"/>
      <c r="P25" s="223"/>
      <c r="Q25" s="223"/>
      <c r="R25" s="223"/>
    </row>
    <row r="26" spans="1:18" ht="32.25" customHeight="1">
      <c r="A26" s="76">
        <v>17</v>
      </c>
      <c r="B26" s="77" t="s">
        <v>1015</v>
      </c>
      <c r="C26" s="223">
        <f t="shared" si="2"/>
        <v>0</v>
      </c>
      <c r="D26" s="223"/>
      <c r="E26" s="223"/>
      <c r="F26" s="223"/>
      <c r="G26" s="223"/>
      <c r="H26" s="223"/>
      <c r="I26" s="223"/>
      <c r="J26" s="223"/>
      <c r="K26" s="223"/>
      <c r="L26" s="223"/>
      <c r="M26" s="223"/>
      <c r="N26" s="223"/>
      <c r="O26" s="223"/>
      <c r="P26" s="223"/>
      <c r="Q26" s="223"/>
      <c r="R26" s="223"/>
    </row>
    <row r="27" spans="1:18" ht="32.25" customHeight="1">
      <c r="A27" s="76">
        <v>18</v>
      </c>
      <c r="B27" s="77" t="s">
        <v>1016</v>
      </c>
      <c r="C27" s="223">
        <f t="shared" si="2"/>
        <v>0</v>
      </c>
      <c r="D27" s="223"/>
      <c r="E27" s="223"/>
      <c r="F27" s="223"/>
      <c r="G27" s="223"/>
      <c r="H27" s="223"/>
      <c r="I27" s="223"/>
      <c r="J27" s="223"/>
      <c r="K27" s="223"/>
      <c r="L27" s="223"/>
      <c r="M27" s="223"/>
      <c r="N27" s="223"/>
      <c r="O27" s="223"/>
      <c r="P27" s="223"/>
      <c r="Q27" s="223"/>
      <c r="R27" s="223"/>
    </row>
    <row r="28" spans="1:18" ht="32.25" customHeight="1">
      <c r="A28" s="76">
        <v>19</v>
      </c>
      <c r="B28" s="77" t="s">
        <v>1017</v>
      </c>
      <c r="C28" s="223">
        <f t="shared" si="2"/>
        <v>0</v>
      </c>
      <c r="D28" s="223"/>
      <c r="E28" s="223"/>
      <c r="F28" s="223"/>
      <c r="G28" s="223"/>
      <c r="H28" s="223"/>
      <c r="I28" s="223"/>
      <c r="J28" s="223"/>
      <c r="K28" s="223"/>
      <c r="L28" s="223"/>
      <c r="M28" s="223"/>
      <c r="N28" s="223"/>
      <c r="O28" s="223"/>
      <c r="P28" s="223"/>
      <c r="Q28" s="223"/>
      <c r="R28" s="223"/>
    </row>
    <row r="29" spans="1:18" ht="32.25" customHeight="1">
      <c r="A29" s="76">
        <v>20</v>
      </c>
      <c r="B29" s="77" t="s">
        <v>1018</v>
      </c>
      <c r="C29" s="223">
        <f t="shared" si="2"/>
        <v>0</v>
      </c>
      <c r="D29" s="223"/>
      <c r="E29" s="223"/>
      <c r="F29" s="223"/>
      <c r="G29" s="223"/>
      <c r="H29" s="223"/>
      <c r="I29" s="223"/>
      <c r="J29" s="223"/>
      <c r="K29" s="223"/>
      <c r="L29" s="223"/>
      <c r="M29" s="223"/>
      <c r="N29" s="223"/>
      <c r="O29" s="223"/>
      <c r="P29" s="223"/>
      <c r="Q29" s="223"/>
      <c r="R29" s="223"/>
    </row>
    <row r="30" spans="1:18" ht="32.25" customHeight="1">
      <c r="A30" s="76">
        <v>21</v>
      </c>
      <c r="B30" s="77" t="s">
        <v>1019</v>
      </c>
      <c r="C30" s="223">
        <f t="shared" si="2"/>
        <v>0</v>
      </c>
      <c r="D30" s="223"/>
      <c r="E30" s="223"/>
      <c r="F30" s="223"/>
      <c r="G30" s="223"/>
      <c r="H30" s="223"/>
      <c r="I30" s="223"/>
      <c r="J30" s="223"/>
      <c r="K30" s="223"/>
      <c r="L30" s="223"/>
      <c r="M30" s="223"/>
      <c r="N30" s="223"/>
      <c r="O30" s="223"/>
      <c r="P30" s="223"/>
      <c r="Q30" s="223"/>
      <c r="R30" s="223"/>
    </row>
    <row r="31" spans="1:18" ht="32.25" customHeight="1">
      <c r="A31" s="76">
        <v>22</v>
      </c>
      <c r="B31" s="77" t="s">
        <v>1293</v>
      </c>
      <c r="C31" s="223">
        <f t="shared" si="2"/>
        <v>0</v>
      </c>
      <c r="D31" s="223"/>
      <c r="E31" s="223"/>
      <c r="F31" s="223"/>
      <c r="G31" s="223"/>
      <c r="H31" s="223"/>
      <c r="I31" s="223"/>
      <c r="J31" s="223"/>
      <c r="K31" s="223"/>
      <c r="L31" s="223"/>
      <c r="M31" s="223"/>
      <c r="N31" s="223"/>
      <c r="O31" s="223"/>
      <c r="P31" s="223"/>
      <c r="Q31" s="223"/>
      <c r="R31" s="223"/>
    </row>
    <row r="32" spans="1:18" ht="32.25" customHeight="1">
      <c r="A32" s="76">
        <v>23</v>
      </c>
      <c r="B32" s="77" t="s">
        <v>1295</v>
      </c>
      <c r="C32" s="223"/>
      <c r="D32" s="223"/>
      <c r="E32" s="223"/>
      <c r="F32" s="223"/>
      <c r="G32" s="223"/>
      <c r="H32" s="223"/>
      <c r="I32" s="223"/>
      <c r="J32" s="223"/>
      <c r="K32" s="223"/>
      <c r="L32" s="223"/>
      <c r="M32" s="223"/>
      <c r="N32" s="223"/>
      <c r="O32" s="223"/>
      <c r="P32" s="223"/>
      <c r="Q32" s="223"/>
      <c r="R32" s="223"/>
    </row>
    <row r="33" spans="1:18" ht="32.25" customHeight="1">
      <c r="A33" s="74" t="s">
        <v>70</v>
      </c>
      <c r="B33" s="177" t="s">
        <v>1020</v>
      </c>
      <c r="C33" s="223">
        <f>+C34+C37+C38+C39+C40+C41+C42+C43</f>
        <v>0</v>
      </c>
      <c r="D33" s="223">
        <f t="shared" ref="D33:R33" si="3">+D34+D37+D38+D39+D40+D41+D42+D43</f>
        <v>0</v>
      </c>
      <c r="E33" s="223">
        <f t="shared" si="3"/>
        <v>0</v>
      </c>
      <c r="F33" s="223">
        <f t="shared" si="3"/>
        <v>0</v>
      </c>
      <c r="G33" s="223">
        <f t="shared" si="3"/>
        <v>0</v>
      </c>
      <c r="H33" s="223">
        <f t="shared" si="3"/>
        <v>0</v>
      </c>
      <c r="I33" s="223">
        <f t="shared" si="3"/>
        <v>0</v>
      </c>
      <c r="J33" s="223">
        <f t="shared" si="3"/>
        <v>0</v>
      </c>
      <c r="K33" s="223">
        <f t="shared" si="3"/>
        <v>0</v>
      </c>
      <c r="L33" s="223">
        <f t="shared" si="3"/>
        <v>0</v>
      </c>
      <c r="M33" s="223">
        <f t="shared" si="3"/>
        <v>0</v>
      </c>
      <c r="N33" s="223">
        <f t="shared" si="3"/>
        <v>0</v>
      </c>
      <c r="O33" s="223">
        <f t="shared" si="3"/>
        <v>0</v>
      </c>
      <c r="P33" s="223">
        <f t="shared" si="3"/>
        <v>0</v>
      </c>
      <c r="Q33" s="223">
        <f t="shared" si="3"/>
        <v>0</v>
      </c>
      <c r="R33" s="223">
        <f t="shared" si="3"/>
        <v>0</v>
      </c>
    </row>
    <row r="34" spans="1:18" ht="32.25" customHeight="1">
      <c r="A34" s="97">
        <v>1</v>
      </c>
      <c r="B34" s="98" t="s">
        <v>994</v>
      </c>
      <c r="C34" s="223">
        <f t="shared" si="2"/>
        <v>0</v>
      </c>
      <c r="D34" s="219"/>
      <c r="E34" s="219"/>
      <c r="F34" s="219"/>
      <c r="G34" s="219"/>
      <c r="H34" s="219"/>
      <c r="I34" s="219"/>
      <c r="J34" s="219"/>
      <c r="K34" s="219"/>
      <c r="L34" s="219"/>
      <c r="M34" s="219"/>
      <c r="N34" s="219"/>
      <c r="O34" s="219"/>
      <c r="P34" s="219"/>
      <c r="Q34" s="219"/>
      <c r="R34" s="219"/>
    </row>
    <row r="35" spans="1:18" ht="15.75">
      <c r="A35" s="97"/>
      <c r="B35" s="98" t="s">
        <v>1292</v>
      </c>
      <c r="C35" s="223">
        <f t="shared" si="2"/>
        <v>0</v>
      </c>
      <c r="D35" s="219"/>
      <c r="E35" s="219"/>
      <c r="F35" s="219"/>
      <c r="G35" s="219"/>
      <c r="H35" s="219"/>
      <c r="I35" s="219"/>
      <c r="J35" s="219"/>
      <c r="K35" s="219"/>
      <c r="L35" s="219"/>
      <c r="M35" s="219"/>
      <c r="N35" s="219"/>
      <c r="O35" s="219"/>
      <c r="P35" s="219"/>
      <c r="Q35" s="219"/>
      <c r="R35" s="219"/>
    </row>
    <row r="36" spans="1:18" ht="15.75">
      <c r="A36" s="97"/>
      <c r="B36" s="98" t="s">
        <v>997</v>
      </c>
      <c r="C36" s="223">
        <f t="shared" si="2"/>
        <v>0</v>
      </c>
      <c r="D36" s="219"/>
      <c r="E36" s="219"/>
      <c r="F36" s="219"/>
      <c r="G36" s="219"/>
      <c r="H36" s="219"/>
      <c r="I36" s="219"/>
      <c r="J36" s="219"/>
      <c r="K36" s="219"/>
      <c r="L36" s="219"/>
      <c r="M36" s="219"/>
      <c r="N36" s="219"/>
      <c r="O36" s="219"/>
      <c r="P36" s="219"/>
      <c r="Q36" s="219"/>
      <c r="R36" s="219"/>
    </row>
    <row r="37" spans="1:18" ht="15.75">
      <c r="A37" s="97">
        <v>2</v>
      </c>
      <c r="B37" s="98" t="s">
        <v>1024</v>
      </c>
      <c r="C37" s="223">
        <f t="shared" si="2"/>
        <v>0</v>
      </c>
      <c r="D37" s="219"/>
      <c r="E37" s="219"/>
      <c r="F37" s="219"/>
      <c r="G37" s="219"/>
      <c r="H37" s="219"/>
      <c r="I37" s="219"/>
      <c r="J37" s="219"/>
      <c r="K37" s="219"/>
      <c r="L37" s="219"/>
      <c r="M37" s="219"/>
      <c r="N37" s="219"/>
      <c r="O37" s="219"/>
      <c r="P37" s="219"/>
      <c r="Q37" s="219"/>
      <c r="R37" s="219"/>
    </row>
    <row r="38" spans="1:18" ht="15.75">
      <c r="A38" s="97">
        <v>3</v>
      </c>
      <c r="B38" s="98" t="s">
        <v>1021</v>
      </c>
      <c r="C38" s="223">
        <f t="shared" si="2"/>
        <v>0</v>
      </c>
      <c r="D38" s="219"/>
      <c r="E38" s="219"/>
      <c r="F38" s="219"/>
      <c r="G38" s="219"/>
      <c r="H38" s="219"/>
      <c r="I38" s="219"/>
      <c r="J38" s="219"/>
      <c r="K38" s="219"/>
      <c r="L38" s="219"/>
      <c r="M38" s="219"/>
      <c r="N38" s="219"/>
      <c r="O38" s="219"/>
      <c r="P38" s="219"/>
      <c r="Q38" s="219"/>
      <c r="R38" s="219"/>
    </row>
    <row r="39" spans="1:18" ht="15.75">
      <c r="A39" s="97">
        <v>4</v>
      </c>
      <c r="B39" s="98" t="s">
        <v>1022</v>
      </c>
      <c r="C39" s="223">
        <f t="shared" si="2"/>
        <v>0</v>
      </c>
      <c r="D39" s="219"/>
      <c r="E39" s="219"/>
      <c r="F39" s="219"/>
      <c r="G39" s="219"/>
      <c r="H39" s="219"/>
      <c r="I39" s="219"/>
      <c r="J39" s="219"/>
      <c r="K39" s="219"/>
      <c r="L39" s="219"/>
      <c r="M39" s="219"/>
      <c r="N39" s="219"/>
      <c r="O39" s="219"/>
      <c r="P39" s="219"/>
      <c r="Q39" s="219"/>
      <c r="R39" s="219"/>
    </row>
    <row r="40" spans="1:18" ht="15.75">
      <c r="A40" s="97">
        <v>5</v>
      </c>
      <c r="B40" s="98" t="s">
        <v>1023</v>
      </c>
      <c r="C40" s="223">
        <f t="shared" si="2"/>
        <v>0</v>
      </c>
      <c r="D40" s="219"/>
      <c r="E40" s="219"/>
      <c r="F40" s="219"/>
      <c r="G40" s="219"/>
      <c r="H40" s="219"/>
      <c r="I40" s="219"/>
      <c r="J40" s="219"/>
      <c r="K40" s="219"/>
      <c r="L40" s="219"/>
      <c r="M40" s="219"/>
      <c r="N40" s="219"/>
      <c r="O40" s="219"/>
      <c r="P40" s="219"/>
      <c r="Q40" s="219"/>
      <c r="R40" s="219"/>
    </row>
    <row r="41" spans="1:18" ht="15.75">
      <c r="A41" s="97">
        <v>6</v>
      </c>
      <c r="B41" s="98" t="s">
        <v>1025</v>
      </c>
      <c r="C41" s="223">
        <f t="shared" si="2"/>
        <v>0</v>
      </c>
      <c r="D41" s="219"/>
      <c r="E41" s="219"/>
      <c r="F41" s="219"/>
      <c r="G41" s="219"/>
      <c r="H41" s="219"/>
      <c r="I41" s="219"/>
      <c r="J41" s="219"/>
      <c r="K41" s="219"/>
      <c r="L41" s="219"/>
      <c r="M41" s="219"/>
      <c r="N41" s="219"/>
      <c r="O41" s="219"/>
      <c r="P41" s="219"/>
      <c r="Q41" s="219"/>
      <c r="R41" s="219"/>
    </row>
    <row r="42" spans="1:18" ht="15.75">
      <c r="A42" s="97">
        <v>7</v>
      </c>
      <c r="B42" s="98" t="s">
        <v>1026</v>
      </c>
      <c r="C42" s="223">
        <f t="shared" si="2"/>
        <v>0</v>
      </c>
      <c r="D42" s="219"/>
      <c r="E42" s="219"/>
      <c r="F42" s="219"/>
      <c r="G42" s="219"/>
      <c r="H42" s="219"/>
      <c r="I42" s="219"/>
      <c r="J42" s="219"/>
      <c r="K42" s="219"/>
      <c r="L42" s="219"/>
      <c r="M42" s="219"/>
      <c r="N42" s="219"/>
      <c r="O42" s="219"/>
      <c r="P42" s="219"/>
      <c r="Q42" s="219"/>
      <c r="R42" s="219"/>
    </row>
    <row r="43" spans="1:18" ht="15.75">
      <c r="A43" s="97">
        <v>8</v>
      </c>
      <c r="B43" s="98" t="s">
        <v>1027</v>
      </c>
      <c r="C43" s="223">
        <f t="shared" si="2"/>
        <v>0</v>
      </c>
      <c r="D43" s="219"/>
      <c r="E43" s="219"/>
      <c r="F43" s="219"/>
      <c r="G43" s="219"/>
      <c r="H43" s="219"/>
      <c r="I43" s="219"/>
      <c r="J43" s="219"/>
      <c r="K43" s="219"/>
      <c r="L43" s="219"/>
      <c r="M43" s="219"/>
      <c r="N43" s="219"/>
      <c r="O43" s="219"/>
      <c r="P43" s="219"/>
      <c r="Q43" s="219"/>
      <c r="R43" s="219"/>
    </row>
    <row r="44" spans="1:18" ht="15.75">
      <c r="A44" s="217" t="s">
        <v>73</v>
      </c>
      <c r="B44" s="218" t="s">
        <v>989</v>
      </c>
      <c r="C44" s="223">
        <f>+C45+C46+C47</f>
        <v>0</v>
      </c>
      <c r="D44" s="223">
        <f t="shared" ref="D44:R44" si="4">+D45+D46+D47</f>
        <v>0</v>
      </c>
      <c r="E44" s="223">
        <f t="shared" si="4"/>
        <v>0</v>
      </c>
      <c r="F44" s="223">
        <f t="shared" si="4"/>
        <v>0</v>
      </c>
      <c r="G44" s="223">
        <f t="shared" si="4"/>
        <v>0</v>
      </c>
      <c r="H44" s="223">
        <f t="shared" si="4"/>
        <v>0</v>
      </c>
      <c r="I44" s="223">
        <f t="shared" si="4"/>
        <v>0</v>
      </c>
      <c r="J44" s="223">
        <f t="shared" si="4"/>
        <v>0</v>
      </c>
      <c r="K44" s="223">
        <f t="shared" si="4"/>
        <v>0</v>
      </c>
      <c r="L44" s="223">
        <f t="shared" si="4"/>
        <v>0</v>
      </c>
      <c r="M44" s="223">
        <f t="shared" si="4"/>
        <v>0</v>
      </c>
      <c r="N44" s="223">
        <f t="shared" si="4"/>
        <v>0</v>
      </c>
      <c r="O44" s="223">
        <f t="shared" si="4"/>
        <v>0</v>
      </c>
      <c r="P44" s="223">
        <f t="shared" si="4"/>
        <v>0</v>
      </c>
      <c r="Q44" s="223">
        <f t="shared" si="4"/>
        <v>0</v>
      </c>
      <c r="R44" s="223">
        <f t="shared" si="4"/>
        <v>0</v>
      </c>
    </row>
    <row r="45" spans="1:18" ht="15.75">
      <c r="A45" s="97">
        <v>1</v>
      </c>
      <c r="B45" s="98" t="s">
        <v>991</v>
      </c>
      <c r="C45" s="223">
        <f t="shared" si="2"/>
        <v>0</v>
      </c>
      <c r="D45" s="219"/>
      <c r="E45" s="219"/>
      <c r="F45" s="219"/>
      <c r="G45" s="219"/>
      <c r="H45" s="219"/>
      <c r="I45" s="219"/>
      <c r="J45" s="219"/>
      <c r="K45" s="219"/>
      <c r="L45" s="219"/>
      <c r="M45" s="219"/>
      <c r="N45" s="219"/>
      <c r="O45" s="219"/>
      <c r="P45" s="219"/>
      <c r="Q45" s="219"/>
      <c r="R45" s="219"/>
    </row>
    <row r="46" spans="1:18" ht="15.75">
      <c r="A46" s="97">
        <v>2</v>
      </c>
      <c r="B46" s="98" t="s">
        <v>992</v>
      </c>
      <c r="C46" s="223">
        <f t="shared" si="2"/>
        <v>0</v>
      </c>
      <c r="D46" s="219"/>
      <c r="E46" s="219"/>
      <c r="F46" s="219"/>
      <c r="G46" s="219"/>
      <c r="H46" s="219"/>
      <c r="I46" s="219"/>
      <c r="J46" s="219"/>
      <c r="K46" s="219"/>
      <c r="L46" s="219"/>
      <c r="M46" s="219"/>
      <c r="N46" s="219"/>
      <c r="O46" s="219"/>
      <c r="P46" s="219"/>
      <c r="Q46" s="219"/>
      <c r="R46" s="219"/>
    </row>
    <row r="47" spans="1:18" ht="15.75">
      <c r="A47" s="97">
        <v>3</v>
      </c>
      <c r="B47" s="98" t="s">
        <v>993</v>
      </c>
      <c r="C47" s="223">
        <f t="shared" si="2"/>
        <v>0</v>
      </c>
      <c r="D47" s="219"/>
      <c r="E47" s="219"/>
      <c r="F47" s="219"/>
      <c r="G47" s="219"/>
      <c r="H47" s="219"/>
      <c r="I47" s="219"/>
      <c r="J47" s="219"/>
      <c r="K47" s="219"/>
      <c r="L47" s="219"/>
      <c r="M47" s="219"/>
      <c r="N47" s="219"/>
      <c r="O47" s="219"/>
      <c r="P47" s="219"/>
      <c r="Q47" s="219"/>
      <c r="R47" s="219"/>
    </row>
    <row r="48" spans="1:18" s="101" customFormat="1" ht="15.75">
      <c r="A48" s="217" t="s">
        <v>77</v>
      </c>
      <c r="B48" s="218" t="s">
        <v>1135</v>
      </c>
      <c r="C48" s="223">
        <f t="shared" si="2"/>
        <v>0</v>
      </c>
      <c r="D48" s="219"/>
      <c r="E48" s="219"/>
      <c r="F48" s="219"/>
      <c r="G48" s="219"/>
      <c r="H48" s="219"/>
      <c r="I48" s="219"/>
      <c r="J48" s="219"/>
      <c r="K48" s="219"/>
      <c r="L48" s="219"/>
      <c r="M48" s="219"/>
      <c r="N48" s="219"/>
      <c r="O48" s="219"/>
      <c r="P48" s="219"/>
      <c r="Q48" s="219"/>
      <c r="R48" s="219"/>
    </row>
    <row r="49" spans="1:18" ht="15.75">
      <c r="A49" s="217" t="s">
        <v>113</v>
      </c>
      <c r="B49" s="218" t="s">
        <v>990</v>
      </c>
      <c r="C49" s="223">
        <f>SUM(C50:C70)</f>
        <v>0</v>
      </c>
      <c r="D49" s="223">
        <f t="shared" ref="D49:R49" si="5">SUM(D50:D70)</f>
        <v>0</v>
      </c>
      <c r="E49" s="223">
        <f t="shared" si="5"/>
        <v>0</v>
      </c>
      <c r="F49" s="223">
        <f t="shared" si="5"/>
        <v>0</v>
      </c>
      <c r="G49" s="223">
        <f t="shared" si="5"/>
        <v>0</v>
      </c>
      <c r="H49" s="223">
        <f t="shared" si="5"/>
        <v>0</v>
      </c>
      <c r="I49" s="223">
        <f t="shared" si="5"/>
        <v>0</v>
      </c>
      <c r="J49" s="223">
        <f t="shared" si="5"/>
        <v>0</v>
      </c>
      <c r="K49" s="223">
        <f t="shared" si="5"/>
        <v>0</v>
      </c>
      <c r="L49" s="223">
        <f t="shared" si="5"/>
        <v>0</v>
      </c>
      <c r="M49" s="223">
        <f t="shared" si="5"/>
        <v>0</v>
      </c>
      <c r="N49" s="223">
        <f t="shared" si="5"/>
        <v>0</v>
      </c>
      <c r="O49" s="223">
        <f t="shared" si="5"/>
        <v>0</v>
      </c>
      <c r="P49" s="223">
        <f t="shared" si="5"/>
        <v>0</v>
      </c>
      <c r="Q49" s="223">
        <f t="shared" si="5"/>
        <v>0</v>
      </c>
      <c r="R49" s="223">
        <f t="shared" si="5"/>
        <v>0</v>
      </c>
    </row>
    <row r="50" spans="1:18" ht="31.5">
      <c r="A50" s="97">
        <v>1</v>
      </c>
      <c r="B50" s="98" t="s">
        <v>995</v>
      </c>
      <c r="C50" s="223">
        <f t="shared" si="2"/>
        <v>0</v>
      </c>
      <c r="D50" s="219"/>
      <c r="E50" s="219"/>
      <c r="F50" s="219"/>
      <c r="G50" s="219"/>
      <c r="H50" s="219"/>
      <c r="I50" s="219"/>
      <c r="J50" s="219"/>
      <c r="K50" s="219"/>
      <c r="L50" s="219"/>
      <c r="M50" s="219"/>
      <c r="N50" s="219"/>
      <c r="O50" s="219"/>
      <c r="P50" s="219"/>
      <c r="Q50" s="219"/>
      <c r="R50" s="219"/>
    </row>
    <row r="51" spans="1:18" ht="15.75">
      <c r="A51" s="97">
        <v>2</v>
      </c>
      <c r="B51" s="98" t="s">
        <v>996</v>
      </c>
      <c r="C51" s="223">
        <f t="shared" si="2"/>
        <v>0</v>
      </c>
      <c r="D51" s="219"/>
      <c r="E51" s="219"/>
      <c r="F51" s="219"/>
      <c r="G51" s="219"/>
      <c r="H51" s="219"/>
      <c r="I51" s="219"/>
      <c r="J51" s="219"/>
      <c r="K51" s="219"/>
      <c r="L51" s="219"/>
      <c r="M51" s="219"/>
      <c r="N51" s="219"/>
      <c r="O51" s="219"/>
      <c r="P51" s="219"/>
      <c r="Q51" s="219"/>
      <c r="R51" s="219"/>
    </row>
    <row r="52" spans="1:18" ht="31.5">
      <c r="A52" s="97">
        <v>3</v>
      </c>
      <c r="B52" s="98" t="s">
        <v>998</v>
      </c>
      <c r="C52" s="223">
        <f t="shared" si="2"/>
        <v>0</v>
      </c>
      <c r="D52" s="219"/>
      <c r="E52" s="219"/>
      <c r="F52" s="219"/>
      <c r="G52" s="219"/>
      <c r="H52" s="219"/>
      <c r="I52" s="219"/>
      <c r="J52" s="219"/>
      <c r="K52" s="219"/>
      <c r="L52" s="219"/>
      <c r="M52" s="219"/>
      <c r="N52" s="219"/>
      <c r="O52" s="219"/>
      <c r="P52" s="219"/>
      <c r="Q52" s="219"/>
      <c r="R52" s="219"/>
    </row>
    <row r="53" spans="1:18" ht="15.75">
      <c r="A53" s="97">
        <v>4</v>
      </c>
      <c r="B53" s="98" t="s">
        <v>1028</v>
      </c>
      <c r="C53" s="223">
        <f t="shared" si="2"/>
        <v>0</v>
      </c>
      <c r="D53" s="219"/>
      <c r="E53" s="219"/>
      <c r="F53" s="219"/>
      <c r="G53" s="219"/>
      <c r="H53" s="219"/>
      <c r="I53" s="219"/>
      <c r="J53" s="219"/>
      <c r="K53" s="219"/>
      <c r="L53" s="219"/>
      <c r="M53" s="219"/>
      <c r="N53" s="219"/>
      <c r="O53" s="219"/>
      <c r="P53" s="219"/>
      <c r="Q53" s="219"/>
      <c r="R53" s="219"/>
    </row>
    <row r="54" spans="1:18" ht="15.75">
      <c r="A54" s="97">
        <v>5</v>
      </c>
      <c r="B54" s="98" t="s">
        <v>1033</v>
      </c>
      <c r="C54" s="223">
        <f t="shared" si="2"/>
        <v>0</v>
      </c>
      <c r="D54" s="219"/>
      <c r="E54" s="219"/>
      <c r="F54" s="219"/>
      <c r="G54" s="219"/>
      <c r="H54" s="219"/>
      <c r="I54" s="219"/>
      <c r="J54" s="219"/>
      <c r="K54" s="219"/>
      <c r="L54" s="219"/>
      <c r="M54" s="219"/>
      <c r="N54" s="219"/>
      <c r="O54" s="219"/>
      <c r="P54" s="219"/>
      <c r="Q54" s="219"/>
      <c r="R54" s="219"/>
    </row>
    <row r="55" spans="1:18" ht="15.75">
      <c r="A55" s="97">
        <v>6</v>
      </c>
      <c r="B55" s="98" t="s">
        <v>1029</v>
      </c>
      <c r="C55" s="223">
        <f t="shared" si="2"/>
        <v>0</v>
      </c>
      <c r="D55" s="219"/>
      <c r="E55" s="219"/>
      <c r="F55" s="219"/>
      <c r="G55" s="219"/>
      <c r="H55" s="219"/>
      <c r="I55" s="219"/>
      <c r="J55" s="219"/>
      <c r="K55" s="219"/>
      <c r="L55" s="219"/>
      <c r="M55" s="219"/>
      <c r="N55" s="219"/>
      <c r="O55" s="219"/>
      <c r="P55" s="219"/>
      <c r="Q55" s="219"/>
      <c r="R55" s="219"/>
    </row>
    <row r="56" spans="1:18" ht="15.75">
      <c r="A56" s="97">
        <v>7</v>
      </c>
      <c r="B56" s="98" t="s">
        <v>1030</v>
      </c>
      <c r="C56" s="223">
        <f t="shared" si="2"/>
        <v>0</v>
      </c>
      <c r="D56" s="219"/>
      <c r="E56" s="219"/>
      <c r="F56" s="219"/>
      <c r="G56" s="219"/>
      <c r="H56" s="219"/>
      <c r="I56" s="219"/>
      <c r="J56" s="219"/>
      <c r="K56" s="219"/>
      <c r="L56" s="219"/>
      <c r="M56" s="219"/>
      <c r="N56" s="219"/>
      <c r="O56" s="219"/>
      <c r="P56" s="219"/>
      <c r="Q56" s="219"/>
      <c r="R56" s="219"/>
    </row>
    <row r="57" spans="1:18" ht="15.75">
      <c r="A57" s="97">
        <v>8</v>
      </c>
      <c r="B57" s="98" t="s">
        <v>1031</v>
      </c>
      <c r="C57" s="223">
        <f t="shared" si="2"/>
        <v>0</v>
      </c>
      <c r="D57" s="219"/>
      <c r="E57" s="219"/>
      <c r="F57" s="219"/>
      <c r="G57" s="219"/>
      <c r="H57" s="219"/>
      <c r="I57" s="219"/>
      <c r="J57" s="219"/>
      <c r="K57" s="219"/>
      <c r="L57" s="219"/>
      <c r="M57" s="219"/>
      <c r="N57" s="219"/>
      <c r="O57" s="219"/>
      <c r="P57" s="219"/>
      <c r="Q57" s="219"/>
      <c r="R57" s="219"/>
    </row>
    <row r="58" spans="1:18" ht="15.75">
      <c r="A58" s="97">
        <v>9</v>
      </c>
      <c r="B58" s="98" t="s">
        <v>1032</v>
      </c>
      <c r="C58" s="223">
        <f t="shared" si="2"/>
        <v>0</v>
      </c>
      <c r="D58" s="219"/>
      <c r="E58" s="219"/>
      <c r="F58" s="219"/>
      <c r="G58" s="219"/>
      <c r="H58" s="219"/>
      <c r="I58" s="219"/>
      <c r="J58" s="219"/>
      <c r="K58" s="219"/>
      <c r="L58" s="219"/>
      <c r="M58" s="219"/>
      <c r="N58" s="219"/>
      <c r="O58" s="219"/>
      <c r="P58" s="219"/>
      <c r="Q58" s="219"/>
      <c r="R58" s="219"/>
    </row>
    <row r="59" spans="1:18" ht="15.75">
      <c r="A59" s="97">
        <v>10</v>
      </c>
      <c r="B59" s="98" t="s">
        <v>1034</v>
      </c>
      <c r="C59" s="223">
        <f t="shared" si="2"/>
        <v>0</v>
      </c>
      <c r="D59" s="219"/>
      <c r="E59" s="219"/>
      <c r="F59" s="219"/>
      <c r="G59" s="219"/>
      <c r="H59" s="219"/>
      <c r="I59" s="219"/>
      <c r="J59" s="219"/>
      <c r="K59" s="219"/>
      <c r="L59" s="219"/>
      <c r="M59" s="219"/>
      <c r="N59" s="219"/>
      <c r="O59" s="219"/>
      <c r="P59" s="219"/>
      <c r="Q59" s="219"/>
      <c r="R59" s="219"/>
    </row>
    <row r="60" spans="1:18" ht="15.75">
      <c r="A60" s="97">
        <v>11</v>
      </c>
      <c r="B60" s="98" t="s">
        <v>1035</v>
      </c>
      <c r="C60" s="223">
        <f t="shared" si="2"/>
        <v>0</v>
      </c>
      <c r="D60" s="219"/>
      <c r="E60" s="219"/>
      <c r="F60" s="219"/>
      <c r="G60" s="219"/>
      <c r="H60" s="219"/>
      <c r="I60" s="219"/>
      <c r="J60" s="219"/>
      <c r="K60" s="219"/>
      <c r="L60" s="219"/>
      <c r="M60" s="219"/>
      <c r="N60" s="219"/>
      <c r="O60" s="219"/>
      <c r="P60" s="219"/>
      <c r="Q60" s="219"/>
      <c r="R60" s="219"/>
    </row>
    <row r="61" spans="1:18" ht="15.75">
      <c r="A61" s="97">
        <v>12</v>
      </c>
      <c r="B61" s="98" t="s">
        <v>1036</v>
      </c>
      <c r="C61" s="223">
        <f t="shared" si="2"/>
        <v>0</v>
      </c>
      <c r="D61" s="219"/>
      <c r="E61" s="219"/>
      <c r="F61" s="219"/>
      <c r="G61" s="219"/>
      <c r="H61" s="219"/>
      <c r="I61" s="219"/>
      <c r="J61" s="219"/>
      <c r="K61" s="219"/>
      <c r="L61" s="219"/>
      <c r="M61" s="219"/>
      <c r="N61" s="219"/>
      <c r="O61" s="219"/>
      <c r="P61" s="219"/>
      <c r="Q61" s="219"/>
      <c r="R61" s="219"/>
    </row>
    <row r="62" spans="1:18" ht="15.75">
      <c r="A62" s="97">
        <v>13</v>
      </c>
      <c r="B62" s="98" t="s">
        <v>1037</v>
      </c>
      <c r="C62" s="223">
        <f t="shared" si="2"/>
        <v>0</v>
      </c>
      <c r="D62" s="219"/>
      <c r="E62" s="219"/>
      <c r="F62" s="219"/>
      <c r="G62" s="219"/>
      <c r="H62" s="219"/>
      <c r="I62" s="219"/>
      <c r="J62" s="219"/>
      <c r="K62" s="219"/>
      <c r="L62" s="219"/>
      <c r="M62" s="219"/>
      <c r="N62" s="219"/>
      <c r="O62" s="219"/>
      <c r="P62" s="219"/>
      <c r="Q62" s="219"/>
      <c r="R62" s="219"/>
    </row>
    <row r="63" spans="1:18" ht="15.75">
      <c r="A63" s="97">
        <v>14</v>
      </c>
      <c r="B63" s="98" t="s">
        <v>1038</v>
      </c>
      <c r="C63" s="223">
        <f t="shared" si="2"/>
        <v>0</v>
      </c>
      <c r="D63" s="219"/>
      <c r="E63" s="219"/>
      <c r="F63" s="219"/>
      <c r="G63" s="219"/>
      <c r="H63" s="219"/>
      <c r="I63" s="219"/>
      <c r="J63" s="219"/>
      <c r="K63" s="219"/>
      <c r="L63" s="219"/>
      <c r="M63" s="219"/>
      <c r="N63" s="219"/>
      <c r="O63" s="219"/>
      <c r="P63" s="219"/>
      <c r="Q63" s="219"/>
      <c r="R63" s="219"/>
    </row>
    <row r="64" spans="1:18" ht="15.75">
      <c r="A64" s="97">
        <v>15</v>
      </c>
      <c r="B64" s="98" t="s">
        <v>1039</v>
      </c>
      <c r="C64" s="223">
        <f t="shared" si="2"/>
        <v>0</v>
      </c>
      <c r="D64" s="219"/>
      <c r="E64" s="219"/>
      <c r="F64" s="219"/>
      <c r="G64" s="219"/>
      <c r="H64" s="219"/>
      <c r="I64" s="219"/>
      <c r="J64" s="219"/>
      <c r="K64" s="219"/>
      <c r="L64" s="219"/>
      <c r="M64" s="219"/>
      <c r="N64" s="219"/>
      <c r="O64" s="219"/>
      <c r="P64" s="219"/>
      <c r="Q64" s="219"/>
      <c r="R64" s="219"/>
    </row>
    <row r="65" spans="1:18" ht="15.75">
      <c r="A65" s="97">
        <v>16</v>
      </c>
      <c r="B65" s="98" t="s">
        <v>1040</v>
      </c>
      <c r="C65" s="223">
        <f t="shared" si="2"/>
        <v>0</v>
      </c>
      <c r="D65" s="219"/>
      <c r="E65" s="219"/>
      <c r="F65" s="219"/>
      <c r="G65" s="219"/>
      <c r="H65" s="219"/>
      <c r="I65" s="219"/>
      <c r="J65" s="219"/>
      <c r="K65" s="219"/>
      <c r="L65" s="219"/>
      <c r="M65" s="219"/>
      <c r="N65" s="219"/>
      <c r="O65" s="219"/>
      <c r="P65" s="219"/>
      <c r="Q65" s="219"/>
      <c r="R65" s="219"/>
    </row>
    <row r="66" spans="1:18" ht="15.75">
      <c r="A66" s="97">
        <v>17</v>
      </c>
      <c r="B66" s="98" t="s">
        <v>1041</v>
      </c>
      <c r="C66" s="223">
        <f t="shared" si="2"/>
        <v>0</v>
      </c>
      <c r="D66" s="219"/>
      <c r="E66" s="219"/>
      <c r="F66" s="219"/>
      <c r="G66" s="219"/>
      <c r="H66" s="219"/>
      <c r="I66" s="219"/>
      <c r="J66" s="219"/>
      <c r="K66" s="219"/>
      <c r="L66" s="219"/>
      <c r="M66" s="219"/>
      <c r="N66" s="219"/>
      <c r="O66" s="219"/>
      <c r="P66" s="219"/>
      <c r="Q66" s="219"/>
      <c r="R66" s="219"/>
    </row>
    <row r="67" spans="1:18" ht="15.75">
      <c r="A67" s="97">
        <v>18</v>
      </c>
      <c r="B67" s="98" t="s">
        <v>1042</v>
      </c>
      <c r="C67" s="223">
        <f t="shared" si="2"/>
        <v>0</v>
      </c>
      <c r="D67" s="219"/>
      <c r="E67" s="219"/>
      <c r="F67" s="219"/>
      <c r="G67" s="219"/>
      <c r="H67" s="219"/>
      <c r="I67" s="219"/>
      <c r="J67" s="219"/>
      <c r="K67" s="219"/>
      <c r="L67" s="219"/>
      <c r="M67" s="219"/>
      <c r="N67" s="219"/>
      <c r="O67" s="219"/>
      <c r="P67" s="219"/>
      <c r="Q67" s="219"/>
      <c r="R67" s="219"/>
    </row>
    <row r="68" spans="1:18" ht="15.75">
      <c r="A68" s="97">
        <v>19</v>
      </c>
      <c r="B68" s="98" t="s">
        <v>1043</v>
      </c>
      <c r="C68" s="223">
        <f t="shared" si="2"/>
        <v>0</v>
      </c>
      <c r="D68" s="219"/>
      <c r="E68" s="219"/>
      <c r="F68" s="219"/>
      <c r="G68" s="219"/>
      <c r="H68" s="219"/>
      <c r="I68" s="219"/>
      <c r="J68" s="219"/>
      <c r="K68" s="219"/>
      <c r="L68" s="219"/>
      <c r="M68" s="219"/>
      <c r="N68" s="219"/>
      <c r="O68" s="219"/>
      <c r="P68" s="219"/>
      <c r="Q68" s="219"/>
      <c r="R68" s="219"/>
    </row>
    <row r="69" spans="1:18" ht="15.75">
      <c r="A69" s="97">
        <v>20</v>
      </c>
      <c r="B69" s="98"/>
      <c r="C69" s="223">
        <f t="shared" si="2"/>
        <v>0</v>
      </c>
      <c r="D69" s="219"/>
      <c r="E69" s="219"/>
      <c r="F69" s="219"/>
      <c r="G69" s="219"/>
      <c r="H69" s="219"/>
      <c r="I69" s="219"/>
      <c r="J69" s="219"/>
      <c r="K69" s="219"/>
      <c r="L69" s="219"/>
      <c r="M69" s="219"/>
      <c r="N69" s="219"/>
      <c r="O69" s="219"/>
      <c r="P69" s="219"/>
      <c r="Q69" s="219"/>
      <c r="R69" s="219"/>
    </row>
    <row r="70" spans="1:18" ht="15.75">
      <c r="A70" s="97">
        <v>21</v>
      </c>
      <c r="B70" s="98"/>
      <c r="C70" s="223">
        <f t="shared" si="2"/>
        <v>0</v>
      </c>
      <c r="D70" s="219"/>
      <c r="E70" s="219"/>
      <c r="F70" s="219"/>
      <c r="G70" s="219"/>
      <c r="H70" s="219"/>
      <c r="I70" s="219"/>
      <c r="J70" s="219"/>
      <c r="K70" s="219"/>
      <c r="L70" s="219"/>
      <c r="M70" s="219"/>
      <c r="N70" s="219"/>
      <c r="O70" s="219"/>
      <c r="P70" s="219"/>
      <c r="Q70" s="219"/>
      <c r="R70" s="219"/>
    </row>
    <row r="71" spans="1:18" ht="15.75">
      <c r="A71" s="81"/>
      <c r="B71" s="80"/>
      <c r="C71" s="224"/>
      <c r="D71" s="224"/>
      <c r="E71" s="224"/>
      <c r="F71" s="224"/>
      <c r="G71" s="224"/>
      <c r="H71" s="224"/>
      <c r="I71" s="224"/>
      <c r="J71" s="224"/>
      <c r="K71" s="224"/>
      <c r="L71" s="224"/>
      <c r="M71" s="224"/>
      <c r="N71" s="224"/>
      <c r="O71" s="224"/>
      <c r="P71" s="224"/>
      <c r="Q71" s="224"/>
      <c r="R71" s="224"/>
    </row>
  </sheetData>
  <customSheetViews>
    <customSheetView guid="{9F606621-8853-4836-9A7E-DBA5CF152671}">
      <selection activeCell="H11" sqref="H11"/>
      <pageMargins left="0.7" right="0.7" top="0.75" bottom="0.75" header="0.3" footer="0.3"/>
    </customSheetView>
    <customSheetView guid="{DB9039ED-C6EA-422D-9A5D-D152D95EDC67}">
      <selection activeCell="H11" sqref="H11"/>
      <pageMargins left="0.7" right="0.7" top="0.75" bottom="0.75" header="0.3" footer="0.3"/>
    </customSheetView>
  </customSheetViews>
  <mergeCells count="19">
    <mergeCell ref="A2:R2"/>
    <mergeCell ref="A3:R3"/>
    <mergeCell ref="M5:M6"/>
    <mergeCell ref="N5:O5"/>
    <mergeCell ref="P5:P6"/>
    <mergeCell ref="Q5:Q6"/>
    <mergeCell ref="R5:R6"/>
    <mergeCell ref="G5:G6"/>
    <mergeCell ref="H5:H6"/>
    <mergeCell ref="I5:I6"/>
    <mergeCell ref="J5:J6"/>
    <mergeCell ref="K5:K6"/>
    <mergeCell ref="L5:L6"/>
    <mergeCell ref="A5:A6"/>
    <mergeCell ref="B5:B6"/>
    <mergeCell ref="C5:C6"/>
    <mergeCell ref="D5:D6"/>
    <mergeCell ref="E5:E6"/>
    <mergeCell ref="F5:F6"/>
  </mergeCells>
  <pageMargins left="0.7" right="0.7" top="0.75" bottom="0.75" header="0.3" footer="0.3"/>
</worksheet>
</file>

<file path=xl/worksheets/sheet37.xml><?xml version="1.0" encoding="utf-8"?>
<worksheet xmlns="http://schemas.openxmlformats.org/spreadsheetml/2006/main" xmlns:r="http://schemas.openxmlformats.org/officeDocument/2006/relationships">
  <sheetPr>
    <tabColor rgb="FFFF0000"/>
  </sheetPr>
  <dimension ref="A1:O41"/>
  <sheetViews>
    <sheetView workbookViewId="0">
      <selection activeCell="D6" sqref="D6:D7"/>
    </sheetView>
  </sheetViews>
  <sheetFormatPr defaultColWidth="11.7109375" defaultRowHeight="15.75"/>
  <cols>
    <col min="1" max="1" width="6.85546875" style="583" customWidth="1"/>
    <col min="2" max="2" width="31.28515625" style="575" customWidth="1"/>
    <col min="3" max="3" width="12.7109375" style="575" customWidth="1"/>
    <col min="4" max="15" width="11.140625" style="575" customWidth="1"/>
    <col min="16" max="256" width="11.7109375" style="575"/>
    <col min="257" max="257" width="6.85546875" style="575" customWidth="1"/>
    <col min="258" max="258" width="31.28515625" style="575" customWidth="1"/>
    <col min="259" max="271" width="11.140625" style="575" customWidth="1"/>
    <col min="272" max="512" width="11.7109375" style="575"/>
    <col min="513" max="513" width="6.85546875" style="575" customWidth="1"/>
    <col min="514" max="514" width="31.28515625" style="575" customWidth="1"/>
    <col min="515" max="527" width="11.140625" style="575" customWidth="1"/>
    <col min="528" max="768" width="11.7109375" style="575"/>
    <col min="769" max="769" width="6.85546875" style="575" customWidth="1"/>
    <col min="770" max="770" width="31.28515625" style="575" customWidth="1"/>
    <col min="771" max="783" width="11.140625" style="575" customWidth="1"/>
    <col min="784" max="1024" width="11.7109375" style="575"/>
    <col min="1025" max="1025" width="6.85546875" style="575" customWidth="1"/>
    <col min="1026" max="1026" width="31.28515625" style="575" customWidth="1"/>
    <col min="1027" max="1039" width="11.140625" style="575" customWidth="1"/>
    <col min="1040" max="1280" width="11.7109375" style="575"/>
    <col min="1281" max="1281" width="6.85546875" style="575" customWidth="1"/>
    <col min="1282" max="1282" width="31.28515625" style="575" customWidth="1"/>
    <col min="1283" max="1295" width="11.140625" style="575" customWidth="1"/>
    <col min="1296" max="1536" width="11.7109375" style="575"/>
    <col min="1537" max="1537" width="6.85546875" style="575" customWidth="1"/>
    <col min="1538" max="1538" width="31.28515625" style="575" customWidth="1"/>
    <col min="1539" max="1551" width="11.140625" style="575" customWidth="1"/>
    <col min="1552" max="1792" width="11.7109375" style="575"/>
    <col min="1793" max="1793" width="6.85546875" style="575" customWidth="1"/>
    <col min="1794" max="1794" width="31.28515625" style="575" customWidth="1"/>
    <col min="1795" max="1807" width="11.140625" style="575" customWidth="1"/>
    <col min="1808" max="2048" width="11.7109375" style="575"/>
    <col min="2049" max="2049" width="6.85546875" style="575" customWidth="1"/>
    <col min="2050" max="2050" width="31.28515625" style="575" customWidth="1"/>
    <col min="2051" max="2063" width="11.140625" style="575" customWidth="1"/>
    <col min="2064" max="2304" width="11.7109375" style="575"/>
    <col min="2305" max="2305" width="6.85546875" style="575" customWidth="1"/>
    <col min="2306" max="2306" width="31.28515625" style="575" customWidth="1"/>
    <col min="2307" max="2319" width="11.140625" style="575" customWidth="1"/>
    <col min="2320" max="2560" width="11.7109375" style="575"/>
    <col min="2561" max="2561" width="6.85546875" style="575" customWidth="1"/>
    <col min="2562" max="2562" width="31.28515625" style="575" customWidth="1"/>
    <col min="2563" max="2575" width="11.140625" style="575" customWidth="1"/>
    <col min="2576" max="2816" width="11.7109375" style="575"/>
    <col min="2817" max="2817" width="6.85546875" style="575" customWidth="1"/>
    <col min="2818" max="2818" width="31.28515625" style="575" customWidth="1"/>
    <col min="2819" max="2831" width="11.140625" style="575" customWidth="1"/>
    <col min="2832" max="3072" width="11.7109375" style="575"/>
    <col min="3073" max="3073" width="6.85546875" style="575" customWidth="1"/>
    <col min="3074" max="3074" width="31.28515625" style="575" customWidth="1"/>
    <col min="3075" max="3087" width="11.140625" style="575" customWidth="1"/>
    <col min="3088" max="3328" width="11.7109375" style="575"/>
    <col min="3329" max="3329" width="6.85546875" style="575" customWidth="1"/>
    <col min="3330" max="3330" width="31.28515625" style="575" customWidth="1"/>
    <col min="3331" max="3343" width="11.140625" style="575" customWidth="1"/>
    <col min="3344" max="3584" width="11.7109375" style="575"/>
    <col min="3585" max="3585" width="6.85546875" style="575" customWidth="1"/>
    <col min="3586" max="3586" width="31.28515625" style="575" customWidth="1"/>
    <col min="3587" max="3599" width="11.140625" style="575" customWidth="1"/>
    <col min="3600" max="3840" width="11.7109375" style="575"/>
    <col min="3841" max="3841" width="6.85546875" style="575" customWidth="1"/>
    <col min="3842" max="3842" width="31.28515625" style="575" customWidth="1"/>
    <col min="3843" max="3855" width="11.140625" style="575" customWidth="1"/>
    <col min="3856" max="4096" width="11.7109375" style="575"/>
    <col min="4097" max="4097" width="6.85546875" style="575" customWidth="1"/>
    <col min="4098" max="4098" width="31.28515625" style="575" customWidth="1"/>
    <col min="4099" max="4111" width="11.140625" style="575" customWidth="1"/>
    <col min="4112" max="4352" width="11.7109375" style="575"/>
    <col min="4353" max="4353" width="6.85546875" style="575" customWidth="1"/>
    <col min="4354" max="4354" width="31.28515625" style="575" customWidth="1"/>
    <col min="4355" max="4367" width="11.140625" style="575" customWidth="1"/>
    <col min="4368" max="4608" width="11.7109375" style="575"/>
    <col min="4609" max="4609" width="6.85546875" style="575" customWidth="1"/>
    <col min="4610" max="4610" width="31.28515625" style="575" customWidth="1"/>
    <col min="4611" max="4623" width="11.140625" style="575" customWidth="1"/>
    <col min="4624" max="4864" width="11.7109375" style="575"/>
    <col min="4865" max="4865" width="6.85546875" style="575" customWidth="1"/>
    <col min="4866" max="4866" width="31.28515625" style="575" customWidth="1"/>
    <col min="4867" max="4879" width="11.140625" style="575" customWidth="1"/>
    <col min="4880" max="5120" width="11.7109375" style="575"/>
    <col min="5121" max="5121" width="6.85546875" style="575" customWidth="1"/>
    <col min="5122" max="5122" width="31.28515625" style="575" customWidth="1"/>
    <col min="5123" max="5135" width="11.140625" style="575" customWidth="1"/>
    <col min="5136" max="5376" width="11.7109375" style="575"/>
    <col min="5377" max="5377" width="6.85546875" style="575" customWidth="1"/>
    <col min="5378" max="5378" width="31.28515625" style="575" customWidth="1"/>
    <col min="5379" max="5391" width="11.140625" style="575" customWidth="1"/>
    <col min="5392" max="5632" width="11.7109375" style="575"/>
    <col min="5633" max="5633" width="6.85546875" style="575" customWidth="1"/>
    <col min="5634" max="5634" width="31.28515625" style="575" customWidth="1"/>
    <col min="5635" max="5647" width="11.140625" style="575" customWidth="1"/>
    <col min="5648" max="5888" width="11.7109375" style="575"/>
    <col min="5889" max="5889" width="6.85546875" style="575" customWidth="1"/>
    <col min="5890" max="5890" width="31.28515625" style="575" customWidth="1"/>
    <col min="5891" max="5903" width="11.140625" style="575" customWidth="1"/>
    <col min="5904" max="6144" width="11.7109375" style="575"/>
    <col min="6145" max="6145" width="6.85546875" style="575" customWidth="1"/>
    <col min="6146" max="6146" width="31.28515625" style="575" customWidth="1"/>
    <col min="6147" max="6159" width="11.140625" style="575" customWidth="1"/>
    <col min="6160" max="6400" width="11.7109375" style="575"/>
    <col min="6401" max="6401" width="6.85546875" style="575" customWidth="1"/>
    <col min="6402" max="6402" width="31.28515625" style="575" customWidth="1"/>
    <col min="6403" max="6415" width="11.140625" style="575" customWidth="1"/>
    <col min="6416" max="6656" width="11.7109375" style="575"/>
    <col min="6657" max="6657" width="6.85546875" style="575" customWidth="1"/>
    <col min="6658" max="6658" width="31.28515625" style="575" customWidth="1"/>
    <col min="6659" max="6671" width="11.140625" style="575" customWidth="1"/>
    <col min="6672" max="6912" width="11.7109375" style="575"/>
    <col min="6913" max="6913" width="6.85546875" style="575" customWidth="1"/>
    <col min="6914" max="6914" width="31.28515625" style="575" customWidth="1"/>
    <col min="6915" max="6927" width="11.140625" style="575" customWidth="1"/>
    <col min="6928" max="7168" width="11.7109375" style="575"/>
    <col min="7169" max="7169" width="6.85546875" style="575" customWidth="1"/>
    <col min="7170" max="7170" width="31.28515625" style="575" customWidth="1"/>
    <col min="7171" max="7183" width="11.140625" style="575" customWidth="1"/>
    <col min="7184" max="7424" width="11.7109375" style="575"/>
    <col min="7425" max="7425" width="6.85546875" style="575" customWidth="1"/>
    <col min="7426" max="7426" width="31.28515625" style="575" customWidth="1"/>
    <col min="7427" max="7439" width="11.140625" style="575" customWidth="1"/>
    <col min="7440" max="7680" width="11.7109375" style="575"/>
    <col min="7681" max="7681" width="6.85546875" style="575" customWidth="1"/>
    <col min="7682" max="7682" width="31.28515625" style="575" customWidth="1"/>
    <col min="7683" max="7695" width="11.140625" style="575" customWidth="1"/>
    <col min="7696" max="7936" width="11.7109375" style="575"/>
    <col min="7937" max="7937" width="6.85546875" style="575" customWidth="1"/>
    <col min="7938" max="7938" width="31.28515625" style="575" customWidth="1"/>
    <col min="7939" max="7951" width="11.140625" style="575" customWidth="1"/>
    <col min="7952" max="8192" width="11.7109375" style="575"/>
    <col min="8193" max="8193" width="6.85546875" style="575" customWidth="1"/>
    <col min="8194" max="8194" width="31.28515625" style="575" customWidth="1"/>
    <col min="8195" max="8207" width="11.140625" style="575" customWidth="1"/>
    <col min="8208" max="8448" width="11.7109375" style="575"/>
    <col min="8449" max="8449" width="6.85546875" style="575" customWidth="1"/>
    <col min="8450" max="8450" width="31.28515625" style="575" customWidth="1"/>
    <col min="8451" max="8463" width="11.140625" style="575" customWidth="1"/>
    <col min="8464" max="8704" width="11.7109375" style="575"/>
    <col min="8705" max="8705" width="6.85546875" style="575" customWidth="1"/>
    <col min="8706" max="8706" width="31.28515625" style="575" customWidth="1"/>
    <col min="8707" max="8719" width="11.140625" style="575" customWidth="1"/>
    <col min="8720" max="8960" width="11.7109375" style="575"/>
    <col min="8961" max="8961" width="6.85546875" style="575" customWidth="1"/>
    <col min="8962" max="8962" width="31.28515625" style="575" customWidth="1"/>
    <col min="8963" max="8975" width="11.140625" style="575" customWidth="1"/>
    <col min="8976" max="9216" width="11.7109375" style="575"/>
    <col min="9217" max="9217" width="6.85546875" style="575" customWidth="1"/>
    <col min="9218" max="9218" width="31.28515625" style="575" customWidth="1"/>
    <col min="9219" max="9231" width="11.140625" style="575" customWidth="1"/>
    <col min="9232" max="9472" width="11.7109375" style="575"/>
    <col min="9473" max="9473" width="6.85546875" style="575" customWidth="1"/>
    <col min="9474" max="9474" width="31.28515625" style="575" customWidth="1"/>
    <col min="9475" max="9487" width="11.140625" style="575" customWidth="1"/>
    <col min="9488" max="9728" width="11.7109375" style="575"/>
    <col min="9729" max="9729" width="6.85546875" style="575" customWidth="1"/>
    <col min="9730" max="9730" width="31.28515625" style="575" customWidth="1"/>
    <col min="9731" max="9743" width="11.140625" style="575" customWidth="1"/>
    <col min="9744" max="9984" width="11.7109375" style="575"/>
    <col min="9985" max="9985" width="6.85546875" style="575" customWidth="1"/>
    <col min="9986" max="9986" width="31.28515625" style="575" customWidth="1"/>
    <col min="9987" max="9999" width="11.140625" style="575" customWidth="1"/>
    <col min="10000" max="10240" width="11.7109375" style="575"/>
    <col min="10241" max="10241" width="6.85546875" style="575" customWidth="1"/>
    <col min="10242" max="10242" width="31.28515625" style="575" customWidth="1"/>
    <col min="10243" max="10255" width="11.140625" style="575" customWidth="1"/>
    <col min="10256" max="10496" width="11.7109375" style="575"/>
    <col min="10497" max="10497" width="6.85546875" style="575" customWidth="1"/>
    <col min="10498" max="10498" width="31.28515625" style="575" customWidth="1"/>
    <col min="10499" max="10511" width="11.140625" style="575" customWidth="1"/>
    <col min="10512" max="10752" width="11.7109375" style="575"/>
    <col min="10753" max="10753" width="6.85546875" style="575" customWidth="1"/>
    <col min="10754" max="10754" width="31.28515625" style="575" customWidth="1"/>
    <col min="10755" max="10767" width="11.140625" style="575" customWidth="1"/>
    <col min="10768" max="11008" width="11.7109375" style="575"/>
    <col min="11009" max="11009" width="6.85546875" style="575" customWidth="1"/>
    <col min="11010" max="11010" width="31.28515625" style="575" customWidth="1"/>
    <col min="11011" max="11023" width="11.140625" style="575" customWidth="1"/>
    <col min="11024" max="11264" width="11.7109375" style="575"/>
    <col min="11265" max="11265" width="6.85546875" style="575" customWidth="1"/>
    <col min="11266" max="11266" width="31.28515625" style="575" customWidth="1"/>
    <col min="11267" max="11279" width="11.140625" style="575" customWidth="1"/>
    <col min="11280" max="11520" width="11.7109375" style="575"/>
    <col min="11521" max="11521" width="6.85546875" style="575" customWidth="1"/>
    <col min="11522" max="11522" width="31.28515625" style="575" customWidth="1"/>
    <col min="11523" max="11535" width="11.140625" style="575" customWidth="1"/>
    <col min="11536" max="11776" width="11.7109375" style="575"/>
    <col min="11777" max="11777" width="6.85546875" style="575" customWidth="1"/>
    <col min="11778" max="11778" width="31.28515625" style="575" customWidth="1"/>
    <col min="11779" max="11791" width="11.140625" style="575" customWidth="1"/>
    <col min="11792" max="12032" width="11.7109375" style="575"/>
    <col min="12033" max="12033" width="6.85546875" style="575" customWidth="1"/>
    <col min="12034" max="12034" width="31.28515625" style="575" customWidth="1"/>
    <col min="12035" max="12047" width="11.140625" style="575" customWidth="1"/>
    <col min="12048" max="12288" width="11.7109375" style="575"/>
    <col min="12289" max="12289" width="6.85546875" style="575" customWidth="1"/>
    <col min="12290" max="12290" width="31.28515625" style="575" customWidth="1"/>
    <col min="12291" max="12303" width="11.140625" style="575" customWidth="1"/>
    <col min="12304" max="12544" width="11.7109375" style="575"/>
    <col min="12545" max="12545" width="6.85546875" style="575" customWidth="1"/>
    <col min="12546" max="12546" width="31.28515625" style="575" customWidth="1"/>
    <col min="12547" max="12559" width="11.140625" style="575" customWidth="1"/>
    <col min="12560" max="12800" width="11.7109375" style="575"/>
    <col min="12801" max="12801" width="6.85546875" style="575" customWidth="1"/>
    <col min="12802" max="12802" width="31.28515625" style="575" customWidth="1"/>
    <col min="12803" max="12815" width="11.140625" style="575" customWidth="1"/>
    <col min="12816" max="13056" width="11.7109375" style="575"/>
    <col min="13057" max="13057" width="6.85546875" style="575" customWidth="1"/>
    <col min="13058" max="13058" width="31.28515625" style="575" customWidth="1"/>
    <col min="13059" max="13071" width="11.140625" style="575" customWidth="1"/>
    <col min="13072" max="13312" width="11.7109375" style="575"/>
    <col min="13313" max="13313" width="6.85546875" style="575" customWidth="1"/>
    <col min="13314" max="13314" width="31.28515625" style="575" customWidth="1"/>
    <col min="13315" max="13327" width="11.140625" style="575" customWidth="1"/>
    <col min="13328" max="13568" width="11.7109375" style="575"/>
    <col min="13569" max="13569" width="6.85546875" style="575" customWidth="1"/>
    <col min="13570" max="13570" width="31.28515625" style="575" customWidth="1"/>
    <col min="13571" max="13583" width="11.140625" style="575" customWidth="1"/>
    <col min="13584" max="13824" width="11.7109375" style="575"/>
    <col min="13825" max="13825" width="6.85546875" style="575" customWidth="1"/>
    <col min="13826" max="13826" width="31.28515625" style="575" customWidth="1"/>
    <col min="13827" max="13839" width="11.140625" style="575" customWidth="1"/>
    <col min="13840" max="14080" width="11.7109375" style="575"/>
    <col min="14081" max="14081" width="6.85546875" style="575" customWidth="1"/>
    <col min="14082" max="14082" width="31.28515625" style="575" customWidth="1"/>
    <col min="14083" max="14095" width="11.140625" style="575" customWidth="1"/>
    <col min="14096" max="14336" width="11.7109375" style="575"/>
    <col min="14337" max="14337" width="6.85546875" style="575" customWidth="1"/>
    <col min="14338" max="14338" width="31.28515625" style="575" customWidth="1"/>
    <col min="14339" max="14351" width="11.140625" style="575" customWidth="1"/>
    <col min="14352" max="14592" width="11.7109375" style="575"/>
    <col min="14593" max="14593" width="6.85546875" style="575" customWidth="1"/>
    <col min="14594" max="14594" width="31.28515625" style="575" customWidth="1"/>
    <col min="14595" max="14607" width="11.140625" style="575" customWidth="1"/>
    <col min="14608" max="14848" width="11.7109375" style="575"/>
    <col min="14849" max="14849" width="6.85546875" style="575" customWidth="1"/>
    <col min="14850" max="14850" width="31.28515625" style="575" customWidth="1"/>
    <col min="14851" max="14863" width="11.140625" style="575" customWidth="1"/>
    <col min="14864" max="15104" width="11.7109375" style="575"/>
    <col min="15105" max="15105" width="6.85546875" style="575" customWidth="1"/>
    <col min="15106" max="15106" width="31.28515625" style="575" customWidth="1"/>
    <col min="15107" max="15119" width="11.140625" style="575" customWidth="1"/>
    <col min="15120" max="15360" width="11.7109375" style="575"/>
    <col min="15361" max="15361" width="6.85546875" style="575" customWidth="1"/>
    <col min="15362" max="15362" width="31.28515625" style="575" customWidth="1"/>
    <col min="15363" max="15375" width="11.140625" style="575" customWidth="1"/>
    <col min="15376" max="15616" width="11.7109375" style="575"/>
    <col min="15617" max="15617" width="6.85546875" style="575" customWidth="1"/>
    <col min="15618" max="15618" width="31.28515625" style="575" customWidth="1"/>
    <col min="15619" max="15631" width="11.140625" style="575" customWidth="1"/>
    <col min="15632" max="15872" width="11.7109375" style="575"/>
    <col min="15873" max="15873" width="6.85546875" style="575" customWidth="1"/>
    <col min="15874" max="15874" width="31.28515625" style="575" customWidth="1"/>
    <col min="15875" max="15887" width="11.140625" style="575" customWidth="1"/>
    <col min="15888" max="16128" width="11.7109375" style="575"/>
    <col min="16129" max="16129" width="6.85546875" style="575" customWidth="1"/>
    <col min="16130" max="16130" width="31.28515625" style="575" customWidth="1"/>
    <col min="16131" max="16143" width="11.140625" style="575" customWidth="1"/>
    <col min="16144" max="16384" width="11.7109375" style="575"/>
  </cols>
  <sheetData>
    <row r="1" spans="1:15" s="570" customFormat="1" ht="23.25" customHeight="1">
      <c r="A1" s="794" t="s">
        <v>1519</v>
      </c>
      <c r="B1" s="794"/>
      <c r="D1" s="571"/>
      <c r="E1" s="571"/>
      <c r="F1" s="571"/>
      <c r="H1" s="572"/>
      <c r="O1" s="573" t="s">
        <v>1531</v>
      </c>
    </row>
    <row r="2" spans="1:15" s="570" customFormat="1" ht="15.75" customHeight="1">
      <c r="A2" s="794" t="s">
        <v>1522</v>
      </c>
      <c r="B2" s="794"/>
      <c r="H2" s="572"/>
      <c r="I2" s="572"/>
      <c r="J2" s="574"/>
      <c r="K2" s="574"/>
      <c r="L2" s="574"/>
      <c r="M2" s="574"/>
      <c r="N2" s="574"/>
    </row>
    <row r="3" spans="1:15" ht="30" customHeight="1">
      <c r="A3" s="802" t="s">
        <v>852</v>
      </c>
      <c r="B3" s="802"/>
      <c r="C3" s="802"/>
      <c r="D3" s="802"/>
      <c r="E3" s="802"/>
      <c r="F3" s="802"/>
      <c r="G3" s="802"/>
      <c r="H3" s="802"/>
      <c r="I3" s="802"/>
      <c r="J3" s="802"/>
      <c r="K3" s="802"/>
      <c r="L3" s="802"/>
      <c r="M3" s="802"/>
      <c r="N3" s="802"/>
      <c r="O3" s="802"/>
    </row>
    <row r="4" spans="1:15" ht="28.9" customHeight="1">
      <c r="A4" s="582"/>
      <c r="B4" s="576"/>
      <c r="C4" s="576"/>
      <c r="D4" s="576"/>
      <c r="E4" s="576"/>
      <c r="F4" s="576"/>
      <c r="G4" s="576"/>
      <c r="H4" s="576"/>
      <c r="I4" s="576"/>
      <c r="O4" s="577" t="s">
        <v>56</v>
      </c>
    </row>
    <row r="5" spans="1:15" s="584" customFormat="1" ht="21.6" customHeight="1">
      <c r="A5" s="803" t="s">
        <v>3</v>
      </c>
      <c r="B5" s="806" t="s">
        <v>1532</v>
      </c>
      <c r="C5" s="806" t="s">
        <v>133</v>
      </c>
      <c r="D5" s="809" t="s">
        <v>1533</v>
      </c>
      <c r="E5" s="809"/>
      <c r="F5" s="809"/>
      <c r="G5" s="809"/>
      <c r="H5" s="809"/>
      <c r="I5" s="809"/>
      <c r="J5" s="809"/>
      <c r="K5" s="809"/>
      <c r="L5" s="809"/>
      <c r="M5" s="809"/>
      <c r="N5" s="809"/>
      <c r="O5" s="809"/>
    </row>
    <row r="6" spans="1:15" s="584" customFormat="1" ht="27.75" customHeight="1">
      <c r="A6" s="804"/>
      <c r="B6" s="807"/>
      <c r="C6" s="807"/>
      <c r="D6" s="810" t="s">
        <v>1534</v>
      </c>
      <c r="E6" s="810" t="s">
        <v>1535</v>
      </c>
      <c r="F6" s="810" t="s">
        <v>1536</v>
      </c>
      <c r="G6" s="798" t="s">
        <v>1537</v>
      </c>
      <c r="H6" s="800" t="s">
        <v>1538</v>
      </c>
      <c r="I6" s="798" t="s">
        <v>1539</v>
      </c>
      <c r="J6" s="798" t="s">
        <v>1540</v>
      </c>
      <c r="K6" s="798" t="s">
        <v>1541</v>
      </c>
      <c r="L6" s="797" t="s">
        <v>1542</v>
      </c>
      <c r="M6" s="797"/>
      <c r="N6" s="798" t="s">
        <v>1543</v>
      </c>
      <c r="O6" s="800" t="s">
        <v>1544</v>
      </c>
    </row>
    <row r="7" spans="1:15" s="586" customFormat="1" ht="127.15" customHeight="1">
      <c r="A7" s="805"/>
      <c r="B7" s="808"/>
      <c r="C7" s="808"/>
      <c r="D7" s="811"/>
      <c r="E7" s="811"/>
      <c r="F7" s="811"/>
      <c r="G7" s="799"/>
      <c r="H7" s="801"/>
      <c r="I7" s="799"/>
      <c r="J7" s="799"/>
      <c r="K7" s="799"/>
      <c r="L7" s="585" t="s">
        <v>1545</v>
      </c>
      <c r="M7" s="585" t="s">
        <v>1546</v>
      </c>
      <c r="N7" s="799"/>
      <c r="O7" s="801"/>
    </row>
    <row r="8" spans="1:15" s="586" customFormat="1" ht="15.6" customHeight="1">
      <c r="A8" s="587" t="s">
        <v>15</v>
      </c>
      <c r="B8" s="588" t="s">
        <v>16</v>
      </c>
      <c r="C8" s="588">
        <v>1</v>
      </c>
      <c r="D8" s="588">
        <v>2</v>
      </c>
      <c r="E8" s="588">
        <v>3</v>
      </c>
      <c r="F8" s="588">
        <v>4</v>
      </c>
      <c r="G8" s="589">
        <v>5</v>
      </c>
      <c r="H8" s="589">
        <v>6</v>
      </c>
      <c r="I8" s="589">
        <v>7</v>
      </c>
      <c r="J8" s="589">
        <v>8</v>
      </c>
      <c r="K8" s="589">
        <v>9</v>
      </c>
      <c r="L8" s="589">
        <v>10</v>
      </c>
      <c r="M8" s="589">
        <v>11</v>
      </c>
      <c r="N8" s="589">
        <v>12</v>
      </c>
      <c r="O8" s="589">
        <v>13</v>
      </c>
    </row>
    <row r="9" spans="1:15" s="578" customFormat="1" ht="21" customHeight="1">
      <c r="A9" s="680"/>
      <c r="B9" s="681" t="s">
        <v>1728</v>
      </c>
      <c r="C9" s="682"/>
      <c r="D9" s="683"/>
      <c r="E9" s="683"/>
      <c r="F9" s="683"/>
      <c r="G9" s="683"/>
      <c r="H9" s="684"/>
      <c r="I9" s="684"/>
      <c r="J9" s="684"/>
      <c r="K9" s="684"/>
      <c r="L9" s="684"/>
      <c r="M9" s="684"/>
      <c r="N9" s="684"/>
      <c r="O9" s="684"/>
    </row>
    <row r="10" spans="1:15">
      <c r="A10" s="590">
        <v>2</v>
      </c>
      <c r="B10" s="591" t="s">
        <v>1550</v>
      </c>
      <c r="C10" s="592">
        <v>69461</v>
      </c>
      <c r="D10" s="593"/>
      <c r="E10" s="593"/>
      <c r="F10" s="593"/>
      <c r="G10" s="593"/>
      <c r="H10" s="593"/>
      <c r="I10" s="593"/>
      <c r="J10" s="593"/>
      <c r="K10" s="593"/>
      <c r="L10" s="593"/>
      <c r="M10" s="593"/>
      <c r="N10" s="593"/>
      <c r="O10" s="593"/>
    </row>
    <row r="11" spans="1:15">
      <c r="A11" s="590">
        <v>3</v>
      </c>
      <c r="B11" s="591" t="s">
        <v>1551</v>
      </c>
      <c r="C11" s="592">
        <v>409356</v>
      </c>
      <c r="D11" s="593"/>
      <c r="E11" s="593"/>
      <c r="F11" s="593"/>
      <c r="G11" s="593"/>
      <c r="H11" s="593"/>
      <c r="I11" s="593"/>
      <c r="J11" s="593"/>
      <c r="K11" s="593"/>
      <c r="L11" s="593"/>
      <c r="M11" s="593"/>
      <c r="N11" s="593"/>
      <c r="O11" s="593"/>
    </row>
    <row r="12" spans="1:15">
      <c r="A12" s="590">
        <v>4</v>
      </c>
      <c r="B12" s="591" t="s">
        <v>1552</v>
      </c>
      <c r="C12" s="592">
        <v>16805</v>
      </c>
      <c r="D12" s="593"/>
      <c r="E12" s="593"/>
      <c r="F12" s="593"/>
      <c r="G12" s="593"/>
      <c r="H12" s="593"/>
      <c r="I12" s="593"/>
      <c r="J12" s="593"/>
      <c r="K12" s="593"/>
      <c r="L12" s="593"/>
      <c r="M12" s="593"/>
      <c r="N12" s="593"/>
      <c r="O12" s="593"/>
    </row>
    <row r="13" spans="1:15">
      <c r="A13" s="590">
        <v>5</v>
      </c>
      <c r="B13" s="591" t="s">
        <v>1553</v>
      </c>
      <c r="C13" s="592">
        <v>800</v>
      </c>
      <c r="D13" s="593"/>
      <c r="E13" s="593"/>
      <c r="F13" s="593"/>
      <c r="G13" s="593"/>
      <c r="H13" s="593"/>
      <c r="I13" s="593"/>
      <c r="J13" s="593"/>
      <c r="K13" s="593"/>
      <c r="L13" s="593"/>
      <c r="M13" s="593"/>
      <c r="N13" s="593"/>
      <c r="O13" s="593"/>
    </row>
    <row r="14" spans="1:15">
      <c r="A14" s="590">
        <v>6</v>
      </c>
      <c r="B14" s="591" t="s">
        <v>1554</v>
      </c>
      <c r="C14" s="592">
        <v>40403</v>
      </c>
      <c r="D14" s="593"/>
      <c r="E14" s="593"/>
      <c r="F14" s="593"/>
      <c r="G14" s="593"/>
      <c r="H14" s="593"/>
      <c r="I14" s="593"/>
      <c r="J14" s="593"/>
      <c r="K14" s="593"/>
      <c r="L14" s="593"/>
      <c r="M14" s="593"/>
      <c r="N14" s="593"/>
      <c r="O14" s="593"/>
    </row>
    <row r="15" spans="1:15">
      <c r="A15" s="590">
        <v>7</v>
      </c>
      <c r="B15" s="591" t="s">
        <v>1555</v>
      </c>
      <c r="C15" s="592">
        <v>10508</v>
      </c>
      <c r="D15" s="593"/>
      <c r="E15" s="593"/>
      <c r="F15" s="593"/>
      <c r="G15" s="593"/>
      <c r="H15" s="593"/>
      <c r="I15" s="593"/>
      <c r="J15" s="593"/>
      <c r="K15" s="593"/>
      <c r="L15" s="593"/>
      <c r="M15" s="593"/>
      <c r="N15" s="593"/>
      <c r="O15" s="593"/>
    </row>
    <row r="16" spans="1:15">
      <c r="A16" s="590">
        <v>8</v>
      </c>
      <c r="B16" s="591" t="s">
        <v>1556</v>
      </c>
      <c r="C16" s="592">
        <v>4200</v>
      </c>
      <c r="D16" s="593"/>
      <c r="E16" s="593"/>
      <c r="F16" s="593"/>
      <c r="G16" s="593"/>
      <c r="H16" s="593"/>
      <c r="I16" s="593"/>
      <c r="J16" s="593"/>
      <c r="K16" s="593"/>
      <c r="L16" s="593"/>
      <c r="M16" s="593"/>
      <c r="N16" s="593"/>
      <c r="O16" s="593"/>
    </row>
    <row r="17" spans="1:15">
      <c r="A17" s="590">
        <v>9</v>
      </c>
      <c r="B17" s="591" t="s">
        <v>1557</v>
      </c>
      <c r="C17" s="592">
        <v>5714</v>
      </c>
      <c r="D17" s="593"/>
      <c r="E17" s="593"/>
      <c r="F17" s="593"/>
      <c r="G17" s="593"/>
      <c r="H17" s="593"/>
      <c r="I17" s="593"/>
      <c r="J17" s="593"/>
      <c r="K17" s="593"/>
      <c r="L17" s="593"/>
      <c r="M17" s="593"/>
      <c r="N17" s="593"/>
      <c r="O17" s="593"/>
    </row>
    <row r="18" spans="1:15">
      <c r="A18" s="590">
        <v>10</v>
      </c>
      <c r="B18" s="591" t="s">
        <v>1558</v>
      </c>
      <c r="C18" s="592">
        <v>4000</v>
      </c>
      <c r="D18" s="593"/>
      <c r="E18" s="593"/>
      <c r="F18" s="593"/>
      <c r="G18" s="593"/>
      <c r="H18" s="593"/>
      <c r="I18" s="593"/>
      <c r="J18" s="593"/>
      <c r="K18" s="593"/>
      <c r="L18" s="593"/>
      <c r="M18" s="593"/>
      <c r="N18" s="593"/>
      <c r="O18" s="593"/>
    </row>
    <row r="19" spans="1:15">
      <c r="A19" s="590">
        <v>15</v>
      </c>
      <c r="B19" s="591" t="s">
        <v>1559</v>
      </c>
      <c r="C19" s="592">
        <v>13300</v>
      </c>
      <c r="D19" s="593"/>
      <c r="E19" s="593"/>
      <c r="F19" s="593"/>
      <c r="G19" s="593"/>
      <c r="H19" s="593"/>
      <c r="I19" s="593"/>
      <c r="J19" s="593"/>
      <c r="K19" s="593"/>
      <c r="L19" s="593"/>
      <c r="M19" s="593"/>
      <c r="N19" s="593"/>
      <c r="O19" s="593"/>
    </row>
    <row r="20" spans="1:15">
      <c r="A20" s="590">
        <v>16</v>
      </c>
      <c r="B20" s="591" t="s">
        <v>1563</v>
      </c>
      <c r="C20" s="592">
        <v>5000</v>
      </c>
      <c r="D20" s="593"/>
      <c r="E20" s="593"/>
      <c r="F20" s="593"/>
      <c r="G20" s="593"/>
      <c r="H20" s="593"/>
      <c r="I20" s="593"/>
      <c r="J20" s="593"/>
      <c r="K20" s="593"/>
      <c r="L20" s="593"/>
      <c r="M20" s="593"/>
      <c r="N20" s="593"/>
      <c r="O20" s="593"/>
    </row>
    <row r="21" spans="1:15">
      <c r="A21" s="590">
        <v>17</v>
      </c>
      <c r="B21" s="591" t="s">
        <v>1560</v>
      </c>
      <c r="C21" s="592">
        <v>17000</v>
      </c>
      <c r="D21" s="593"/>
      <c r="E21" s="593"/>
      <c r="F21" s="593"/>
      <c r="G21" s="593"/>
      <c r="H21" s="593"/>
      <c r="I21" s="593"/>
      <c r="J21" s="593"/>
      <c r="K21" s="593"/>
      <c r="L21" s="593"/>
      <c r="M21" s="593"/>
      <c r="N21" s="593"/>
      <c r="O21" s="593"/>
    </row>
    <row r="22" spans="1:15">
      <c r="A22" s="590">
        <v>18</v>
      </c>
      <c r="B22" s="591" t="s">
        <v>1561</v>
      </c>
      <c r="C22" s="592">
        <v>71074</v>
      </c>
      <c r="D22" s="593"/>
      <c r="E22" s="593"/>
      <c r="F22" s="593"/>
      <c r="G22" s="593"/>
      <c r="H22" s="593"/>
      <c r="I22" s="593"/>
      <c r="J22" s="593"/>
      <c r="K22" s="593"/>
      <c r="L22" s="593"/>
      <c r="M22" s="593"/>
      <c r="N22" s="593"/>
      <c r="O22" s="593"/>
    </row>
    <row r="23" spans="1:15">
      <c r="A23" s="590">
        <v>19</v>
      </c>
      <c r="B23" s="591" t="s">
        <v>1562</v>
      </c>
      <c r="C23" s="592">
        <v>54180</v>
      </c>
      <c r="D23" s="593"/>
      <c r="E23" s="593"/>
      <c r="F23" s="593"/>
      <c r="G23" s="593"/>
      <c r="H23" s="593"/>
      <c r="I23" s="593"/>
      <c r="J23" s="593"/>
      <c r="K23" s="593"/>
      <c r="L23" s="593"/>
      <c r="M23" s="593"/>
      <c r="N23" s="593"/>
      <c r="O23" s="593"/>
    </row>
    <row r="24" spans="1:15">
      <c r="A24" s="590">
        <v>20</v>
      </c>
      <c r="B24" s="591" t="s">
        <v>1564</v>
      </c>
      <c r="C24" s="592">
        <v>27993</v>
      </c>
      <c r="D24" s="593"/>
      <c r="E24" s="593"/>
      <c r="F24" s="593"/>
      <c r="G24" s="593"/>
      <c r="H24" s="593"/>
      <c r="I24" s="593"/>
      <c r="J24" s="593"/>
      <c r="K24" s="593"/>
      <c r="L24" s="593"/>
      <c r="M24" s="593"/>
      <c r="N24" s="593"/>
      <c r="O24" s="593"/>
    </row>
    <row r="25" spans="1:15">
      <c r="A25" s="590">
        <v>21</v>
      </c>
      <c r="B25" s="591" t="s">
        <v>1565</v>
      </c>
      <c r="C25" s="592">
        <v>84362</v>
      </c>
      <c r="D25" s="593"/>
      <c r="E25" s="593"/>
      <c r="F25" s="593"/>
      <c r="G25" s="593"/>
      <c r="H25" s="593"/>
      <c r="I25" s="593"/>
      <c r="J25" s="593"/>
      <c r="K25" s="593"/>
      <c r="L25" s="593"/>
      <c r="M25" s="593"/>
      <c r="N25" s="593"/>
      <c r="O25" s="593"/>
    </row>
    <row r="26" spans="1:15">
      <c r="A26" s="590">
        <v>22</v>
      </c>
      <c r="B26" s="591" t="s">
        <v>1566</v>
      </c>
      <c r="C26" s="592">
        <v>575026</v>
      </c>
      <c r="D26" s="593"/>
      <c r="E26" s="593"/>
      <c r="F26" s="593"/>
      <c r="G26" s="593"/>
      <c r="H26" s="593"/>
      <c r="I26" s="593"/>
      <c r="J26" s="593"/>
      <c r="K26" s="593"/>
      <c r="L26" s="593"/>
      <c r="M26" s="593"/>
      <c r="N26" s="593"/>
      <c r="O26" s="593"/>
    </row>
    <row r="27" spans="1:15">
      <c r="A27" s="590">
        <v>23</v>
      </c>
      <c r="B27" s="591" t="s">
        <v>1567</v>
      </c>
      <c r="C27" s="592">
        <v>40040</v>
      </c>
      <c r="D27" s="593"/>
      <c r="E27" s="593"/>
      <c r="F27" s="593"/>
      <c r="G27" s="593"/>
      <c r="H27" s="593"/>
      <c r="I27" s="593"/>
      <c r="J27" s="593"/>
      <c r="K27" s="593"/>
      <c r="L27" s="593"/>
      <c r="M27" s="593"/>
      <c r="N27" s="593"/>
      <c r="O27" s="593"/>
    </row>
    <row r="28" spans="1:15">
      <c r="A28" s="590">
        <v>24</v>
      </c>
      <c r="B28" s="591" t="s">
        <v>1568</v>
      </c>
      <c r="C28" s="592">
        <v>48688</v>
      </c>
      <c r="D28" s="593"/>
      <c r="E28" s="593"/>
      <c r="F28" s="593"/>
      <c r="G28" s="593"/>
      <c r="H28" s="593"/>
      <c r="I28" s="593"/>
      <c r="J28" s="593"/>
      <c r="K28" s="593"/>
      <c r="L28" s="593"/>
      <c r="M28" s="593"/>
      <c r="N28" s="593"/>
      <c r="O28" s="593"/>
    </row>
    <row r="29" spans="1:15">
      <c r="A29" s="590">
        <v>25</v>
      </c>
      <c r="B29" s="591" t="s">
        <v>1569</v>
      </c>
      <c r="C29" s="592">
        <v>34797</v>
      </c>
      <c r="D29" s="593"/>
      <c r="E29" s="593"/>
      <c r="F29" s="593"/>
      <c r="G29" s="593"/>
      <c r="H29" s="593"/>
      <c r="I29" s="593"/>
      <c r="J29" s="593"/>
      <c r="K29" s="593"/>
      <c r="L29" s="593"/>
      <c r="M29" s="593"/>
      <c r="N29" s="593"/>
      <c r="O29" s="593"/>
    </row>
    <row r="30" spans="1:15">
      <c r="A30" s="590">
        <v>26</v>
      </c>
      <c r="B30" s="591" t="s">
        <v>1570</v>
      </c>
      <c r="C30" s="592">
        <v>63081</v>
      </c>
      <c r="D30" s="593"/>
      <c r="E30" s="593"/>
      <c r="F30" s="593"/>
      <c r="G30" s="593"/>
      <c r="H30" s="593"/>
      <c r="I30" s="593"/>
      <c r="J30" s="593"/>
      <c r="K30" s="593"/>
      <c r="L30" s="593"/>
      <c r="M30" s="593"/>
      <c r="N30" s="593"/>
      <c r="O30" s="593"/>
    </row>
    <row r="31" spans="1:15">
      <c r="A31" s="590">
        <v>27</v>
      </c>
      <c r="B31" s="591" t="s">
        <v>1571</v>
      </c>
      <c r="C31" s="592">
        <v>49506</v>
      </c>
      <c r="D31" s="593"/>
      <c r="E31" s="593"/>
      <c r="F31" s="593"/>
      <c r="G31" s="593"/>
      <c r="H31" s="593"/>
      <c r="I31" s="593"/>
      <c r="J31" s="593"/>
      <c r="K31" s="593"/>
      <c r="L31" s="593"/>
      <c r="M31" s="593"/>
      <c r="N31" s="593"/>
      <c r="O31" s="593"/>
    </row>
    <row r="32" spans="1:15">
      <c r="A32" s="590">
        <v>28</v>
      </c>
      <c r="B32" s="591" t="s">
        <v>1572</v>
      </c>
      <c r="C32" s="592">
        <v>29835</v>
      </c>
      <c r="D32" s="593"/>
      <c r="E32" s="593"/>
      <c r="F32" s="593"/>
      <c r="G32" s="593"/>
      <c r="H32" s="593"/>
      <c r="I32" s="593"/>
      <c r="J32" s="593"/>
      <c r="K32" s="593"/>
      <c r="L32" s="593"/>
      <c r="M32" s="593"/>
      <c r="N32" s="593"/>
      <c r="O32" s="593"/>
    </row>
    <row r="33" spans="1:15">
      <c r="A33" s="590">
        <v>29</v>
      </c>
      <c r="B33" s="591" t="s">
        <v>1573</v>
      </c>
      <c r="C33" s="592">
        <v>79430</v>
      </c>
      <c r="D33" s="593"/>
      <c r="E33" s="593"/>
      <c r="F33" s="593"/>
      <c r="G33" s="593"/>
      <c r="H33" s="593"/>
      <c r="I33" s="593"/>
      <c r="J33" s="593"/>
      <c r="K33" s="593"/>
      <c r="L33" s="593"/>
      <c r="M33" s="593"/>
      <c r="N33" s="593"/>
      <c r="O33" s="593"/>
    </row>
    <row r="34" spans="1:15">
      <c r="A34" s="590">
        <v>30</v>
      </c>
      <c r="B34" s="591" t="s">
        <v>1574</v>
      </c>
      <c r="C34" s="592">
        <v>42103</v>
      </c>
      <c r="D34" s="593"/>
      <c r="E34" s="593"/>
      <c r="F34" s="593"/>
      <c r="G34" s="593"/>
      <c r="H34" s="593"/>
      <c r="I34" s="593"/>
      <c r="J34" s="593"/>
      <c r="K34" s="593"/>
      <c r="L34" s="593"/>
      <c r="M34" s="593"/>
      <c r="N34" s="593"/>
      <c r="O34" s="593"/>
    </row>
    <row r="35" spans="1:15">
      <c r="A35" s="590">
        <v>31</v>
      </c>
      <c r="B35" s="591" t="s">
        <v>1575</v>
      </c>
      <c r="C35" s="592">
        <v>64861</v>
      </c>
      <c r="D35" s="593"/>
      <c r="E35" s="593"/>
      <c r="F35" s="593"/>
      <c r="G35" s="593"/>
      <c r="H35" s="593"/>
      <c r="I35" s="593"/>
      <c r="J35" s="593"/>
      <c r="K35" s="593"/>
      <c r="L35" s="593"/>
      <c r="M35" s="593"/>
      <c r="N35" s="593"/>
      <c r="O35" s="593"/>
    </row>
    <row r="36" spans="1:15" s="598" customFormat="1">
      <c r="A36" s="594">
        <v>32</v>
      </c>
      <c r="B36" s="595" t="s">
        <v>1576</v>
      </c>
      <c r="C36" s="596">
        <v>31531</v>
      </c>
      <c r="D36" s="597"/>
      <c r="E36" s="597"/>
      <c r="F36" s="597"/>
      <c r="G36" s="597"/>
      <c r="H36" s="597"/>
      <c r="I36" s="597"/>
      <c r="J36" s="597"/>
      <c r="K36" s="597"/>
      <c r="L36" s="597"/>
      <c r="M36" s="597"/>
      <c r="N36" s="597"/>
      <c r="O36" s="597"/>
    </row>
    <row r="37" spans="1:15">
      <c r="C37" s="581"/>
    </row>
    <row r="38" spans="1:15">
      <c r="C38" s="581"/>
    </row>
    <row r="39" spans="1:15">
      <c r="C39" s="581"/>
    </row>
    <row r="40" spans="1:15">
      <c r="C40" s="581"/>
    </row>
    <row r="41" spans="1:15">
      <c r="C41" s="581"/>
    </row>
  </sheetData>
  <mergeCells count="18">
    <mergeCell ref="O6:O7"/>
    <mergeCell ref="K6:K7"/>
    <mergeCell ref="L6:M6"/>
    <mergeCell ref="N6:N7"/>
    <mergeCell ref="A1:B1"/>
    <mergeCell ref="A2:B2"/>
    <mergeCell ref="H6:H7"/>
    <mergeCell ref="I6:I7"/>
    <mergeCell ref="J6:J7"/>
    <mergeCell ref="A3:O3"/>
    <mergeCell ref="A5:A7"/>
    <mergeCell ref="B5:B7"/>
    <mergeCell ref="C5:C7"/>
    <mergeCell ref="D5:O5"/>
    <mergeCell ref="D6:D7"/>
    <mergeCell ref="E6:E7"/>
    <mergeCell ref="F6:F7"/>
    <mergeCell ref="G6:G7"/>
  </mergeCells>
  <printOptions horizontalCentered="1"/>
  <pageMargins left="0.31496062992125984" right="0.15748031496062992" top="0.43307086614173229" bottom="0.15748031496062992" header="0.31496062992125984" footer="0.15748031496062992"/>
  <pageSetup paperSize="9" scale="75" orientation="landscape" r:id="rId1"/>
</worksheet>
</file>

<file path=xl/worksheets/sheet38.xml><?xml version="1.0" encoding="utf-8"?>
<worksheet xmlns="http://schemas.openxmlformats.org/spreadsheetml/2006/main" xmlns:r="http://schemas.openxmlformats.org/officeDocument/2006/relationships">
  <sheetPr>
    <tabColor theme="4"/>
  </sheetPr>
  <dimension ref="A1:O36"/>
  <sheetViews>
    <sheetView showZeros="0" topLeftCell="A22" workbookViewId="0">
      <selection activeCell="C35" sqref="C35"/>
    </sheetView>
  </sheetViews>
  <sheetFormatPr defaultRowHeight="15"/>
  <cols>
    <col min="1" max="1" width="6.42578125" style="462" customWidth="1"/>
    <col min="2" max="2" width="36.42578125" style="462" customWidth="1"/>
    <col min="3" max="3" width="15.28515625" style="462" customWidth="1"/>
    <col min="4" max="4" width="12.28515625" style="462" customWidth="1"/>
    <col min="5" max="12" width="9.140625" style="462"/>
    <col min="13" max="13" width="12.7109375" style="462" customWidth="1"/>
    <col min="14" max="14" width="10.7109375" style="462" customWidth="1"/>
    <col min="15" max="15" width="9.140625" style="462"/>
    <col min="16" max="27" width="9.140625" style="462" customWidth="1"/>
    <col min="28" max="16384" width="9.140625" style="462"/>
  </cols>
  <sheetData>
    <row r="1" spans="1:15" ht="15.75">
      <c r="A1" s="736" t="s">
        <v>1519</v>
      </c>
      <c r="B1" s="736"/>
      <c r="M1" s="813" t="s">
        <v>1523</v>
      </c>
      <c r="N1" s="813"/>
      <c r="O1" s="813"/>
    </row>
    <row r="2" spans="1:15" ht="15.75">
      <c r="A2" s="736" t="s">
        <v>1522</v>
      </c>
      <c r="B2" s="736"/>
    </row>
    <row r="3" spans="1:15" ht="15.75">
      <c r="A3" s="635"/>
      <c r="B3" s="635"/>
    </row>
    <row r="4" spans="1:15" ht="18.75">
      <c r="A4" s="815" t="s">
        <v>853</v>
      </c>
      <c r="B4" s="815"/>
      <c r="C4" s="815"/>
      <c r="D4" s="815"/>
      <c r="E4" s="815"/>
      <c r="F4" s="815"/>
      <c r="G4" s="815"/>
      <c r="H4" s="815"/>
      <c r="I4" s="815"/>
      <c r="J4" s="815"/>
      <c r="K4" s="815"/>
      <c r="L4" s="815"/>
      <c r="M4" s="815"/>
      <c r="N4" s="815"/>
      <c r="O4" s="815"/>
    </row>
    <row r="5" spans="1:15" ht="22.5" customHeight="1">
      <c r="C5" s="685"/>
      <c r="D5" s="685"/>
      <c r="E5" s="685"/>
      <c r="F5" s="685"/>
      <c r="G5" s="685"/>
      <c r="H5" s="685"/>
      <c r="I5" s="685"/>
      <c r="J5" s="685"/>
      <c r="K5" s="685"/>
      <c r="L5" s="685"/>
      <c r="M5" s="685"/>
      <c r="N5" s="696"/>
      <c r="O5" s="687" t="s">
        <v>56</v>
      </c>
    </row>
    <row r="6" spans="1:15" ht="18.75" customHeight="1">
      <c r="A6" s="812" t="s">
        <v>3</v>
      </c>
      <c r="B6" s="812" t="s">
        <v>161</v>
      </c>
      <c r="C6" s="812" t="s">
        <v>130</v>
      </c>
      <c r="D6" s="814" t="s">
        <v>134</v>
      </c>
      <c r="E6" s="814"/>
      <c r="F6" s="814"/>
      <c r="G6" s="814"/>
      <c r="H6" s="814"/>
      <c r="I6" s="814"/>
      <c r="J6" s="814"/>
      <c r="K6" s="814"/>
      <c r="L6" s="814"/>
      <c r="M6" s="814"/>
      <c r="N6" s="814"/>
      <c r="O6" s="814"/>
    </row>
    <row r="7" spans="1:15" ht="25.15" customHeight="1">
      <c r="A7" s="812"/>
      <c r="B7" s="812"/>
      <c r="C7" s="812"/>
      <c r="D7" s="812" t="s">
        <v>389</v>
      </c>
      <c r="E7" s="812" t="s">
        <v>390</v>
      </c>
      <c r="F7" s="812" t="s">
        <v>507</v>
      </c>
      <c r="G7" s="812" t="s">
        <v>508</v>
      </c>
      <c r="H7" s="812" t="s">
        <v>509</v>
      </c>
      <c r="I7" s="812" t="s">
        <v>510</v>
      </c>
      <c r="J7" s="812" t="s">
        <v>511</v>
      </c>
      <c r="K7" s="812" t="s">
        <v>512</v>
      </c>
      <c r="L7" s="812" t="s">
        <v>162</v>
      </c>
      <c r="M7" s="812"/>
      <c r="N7" s="812" t="s">
        <v>513</v>
      </c>
      <c r="O7" s="812" t="s">
        <v>514</v>
      </c>
    </row>
    <row r="8" spans="1:15" ht="102.75" customHeight="1">
      <c r="A8" s="812"/>
      <c r="B8" s="812"/>
      <c r="C8" s="812"/>
      <c r="D8" s="812"/>
      <c r="E8" s="812"/>
      <c r="F8" s="812"/>
      <c r="G8" s="812"/>
      <c r="H8" s="812"/>
      <c r="I8" s="812"/>
      <c r="J8" s="812"/>
      <c r="K8" s="812"/>
      <c r="L8" s="688" t="s">
        <v>531</v>
      </c>
      <c r="M8" s="688" t="s">
        <v>532</v>
      </c>
      <c r="N8" s="812"/>
      <c r="O8" s="812"/>
    </row>
    <row r="9" spans="1:15" ht="23.25" customHeight="1">
      <c r="A9" s="688" t="s">
        <v>15</v>
      </c>
      <c r="B9" s="688" t="s">
        <v>16</v>
      </c>
      <c r="C9" s="688">
        <v>1</v>
      </c>
      <c r="D9" s="688">
        <v>2</v>
      </c>
      <c r="E9" s="688">
        <v>3</v>
      </c>
      <c r="F9" s="688">
        <v>6</v>
      </c>
      <c r="G9" s="688">
        <v>7</v>
      </c>
      <c r="H9" s="688">
        <v>8</v>
      </c>
      <c r="I9" s="688">
        <v>9</v>
      </c>
      <c r="J9" s="688">
        <v>10</v>
      </c>
      <c r="K9" s="688">
        <v>11</v>
      </c>
      <c r="L9" s="688">
        <v>12</v>
      </c>
      <c r="M9" s="688">
        <v>13</v>
      </c>
      <c r="N9" s="688">
        <v>14</v>
      </c>
      <c r="O9" s="688">
        <v>15</v>
      </c>
    </row>
    <row r="10" spans="1:15" s="686" customFormat="1" ht="15.75">
      <c r="A10" s="690"/>
      <c r="B10" s="691" t="s">
        <v>1728</v>
      </c>
      <c r="C10" s="689"/>
      <c r="D10" s="689"/>
      <c r="E10" s="689"/>
      <c r="F10" s="689"/>
      <c r="G10" s="689"/>
      <c r="H10" s="689"/>
      <c r="I10" s="689"/>
      <c r="J10" s="689"/>
      <c r="K10" s="689"/>
      <c r="L10" s="689"/>
      <c r="M10" s="689"/>
      <c r="N10" s="689"/>
      <c r="O10" s="689"/>
    </row>
    <row r="11" spans="1:15" s="695" customFormat="1" ht="15.75">
      <c r="A11" s="692">
        <v>1</v>
      </c>
      <c r="B11" s="693" t="s">
        <v>999</v>
      </c>
      <c r="C11" s="693">
        <v>9662</v>
      </c>
      <c r="D11" s="694">
        <v>50</v>
      </c>
      <c r="E11" s="693">
        <v>0</v>
      </c>
      <c r="F11" s="693">
        <v>0</v>
      </c>
      <c r="G11" s="693">
        <v>0</v>
      </c>
      <c r="H11" s="693">
        <v>0</v>
      </c>
      <c r="I11" s="693">
        <v>0</v>
      </c>
      <c r="J11" s="693">
        <v>0</v>
      </c>
      <c r="K11" s="693">
        <v>0</v>
      </c>
      <c r="L11" s="693">
        <v>0</v>
      </c>
      <c r="M11" s="693">
        <v>0</v>
      </c>
      <c r="N11" s="693">
        <v>9612</v>
      </c>
      <c r="O11" s="693">
        <v>0</v>
      </c>
    </row>
    <row r="12" spans="1:15" s="695" customFormat="1" ht="15.75">
      <c r="A12" s="692">
        <v>2</v>
      </c>
      <c r="B12" s="693" t="s">
        <v>1579</v>
      </c>
      <c r="C12" s="693">
        <v>13652</v>
      </c>
      <c r="D12" s="694">
        <v>250</v>
      </c>
      <c r="E12" s="693">
        <v>0</v>
      </c>
      <c r="F12" s="693">
        <v>0</v>
      </c>
      <c r="G12" s="693">
        <v>0</v>
      </c>
      <c r="H12" s="693">
        <v>0</v>
      </c>
      <c r="I12" s="693">
        <v>0</v>
      </c>
      <c r="J12" s="693">
        <v>0</v>
      </c>
      <c r="K12" s="693">
        <v>0</v>
      </c>
      <c r="L12" s="693">
        <v>0</v>
      </c>
      <c r="M12" s="693">
        <v>0</v>
      </c>
      <c r="N12" s="693">
        <v>13402</v>
      </c>
      <c r="O12" s="693">
        <v>0</v>
      </c>
    </row>
    <row r="13" spans="1:15" s="695" customFormat="1" ht="15.75">
      <c r="A13" s="692">
        <v>3</v>
      </c>
      <c r="B13" s="693" t="s">
        <v>1580</v>
      </c>
      <c r="C13" s="694">
        <v>24820</v>
      </c>
      <c r="D13" s="694">
        <v>450</v>
      </c>
      <c r="E13" s="694">
        <v>0</v>
      </c>
      <c r="F13" s="694">
        <v>0</v>
      </c>
      <c r="G13" s="694">
        <v>0</v>
      </c>
      <c r="H13" s="694">
        <v>0</v>
      </c>
      <c r="I13" s="694">
        <v>0</v>
      </c>
      <c r="J13" s="694">
        <v>0</v>
      </c>
      <c r="K13" s="694">
        <v>0</v>
      </c>
      <c r="L13" s="694">
        <v>0</v>
      </c>
      <c r="M13" s="694">
        <v>0</v>
      </c>
      <c r="N13" s="693">
        <v>24370</v>
      </c>
      <c r="O13" s="694">
        <v>0</v>
      </c>
    </row>
    <row r="14" spans="1:15" s="695" customFormat="1" ht="15.75">
      <c r="A14" s="692">
        <v>4</v>
      </c>
      <c r="B14" s="693" t="s">
        <v>1002</v>
      </c>
      <c r="C14" s="693">
        <v>5031</v>
      </c>
      <c r="D14" s="694">
        <v>80</v>
      </c>
      <c r="E14" s="693">
        <v>0</v>
      </c>
      <c r="F14" s="693">
        <v>0</v>
      </c>
      <c r="G14" s="693">
        <v>0</v>
      </c>
      <c r="H14" s="693">
        <v>0</v>
      </c>
      <c r="I14" s="693">
        <v>0</v>
      </c>
      <c r="J14" s="693">
        <v>0</v>
      </c>
      <c r="K14" s="693">
        <v>0</v>
      </c>
      <c r="L14" s="693">
        <v>0</v>
      </c>
      <c r="M14" s="693">
        <v>0</v>
      </c>
      <c r="N14" s="693">
        <v>4951</v>
      </c>
      <c r="O14" s="693">
        <v>0</v>
      </c>
    </row>
    <row r="15" spans="1:15" s="695" customFormat="1" ht="15.75">
      <c r="A15" s="692">
        <v>5</v>
      </c>
      <c r="B15" s="693" t="s">
        <v>1588</v>
      </c>
      <c r="C15" s="693">
        <v>5124</v>
      </c>
      <c r="D15" s="694">
        <v>70</v>
      </c>
      <c r="E15" s="693">
        <v>0</v>
      </c>
      <c r="F15" s="693">
        <v>0</v>
      </c>
      <c r="G15" s="693">
        <v>0</v>
      </c>
      <c r="H15" s="693">
        <v>0</v>
      </c>
      <c r="I15" s="693">
        <v>0</v>
      </c>
      <c r="J15" s="693">
        <v>0</v>
      </c>
      <c r="K15" s="693">
        <v>0</v>
      </c>
      <c r="L15" s="693">
        <v>0</v>
      </c>
      <c r="M15" s="693">
        <v>0</v>
      </c>
      <c r="N15" s="693">
        <v>5054</v>
      </c>
      <c r="O15" s="693">
        <v>0</v>
      </c>
    </row>
    <row r="16" spans="1:15" s="695" customFormat="1" ht="15.75">
      <c r="A16" s="692">
        <v>6</v>
      </c>
      <c r="B16" s="693" t="s">
        <v>1589</v>
      </c>
      <c r="C16" s="694">
        <v>19282</v>
      </c>
      <c r="D16" s="694">
        <v>200</v>
      </c>
      <c r="E16" s="694">
        <v>0</v>
      </c>
      <c r="F16" s="694">
        <v>0</v>
      </c>
      <c r="G16" s="694">
        <v>0</v>
      </c>
      <c r="H16" s="694">
        <v>0</v>
      </c>
      <c r="I16" s="694">
        <v>0</v>
      </c>
      <c r="J16" s="694">
        <v>0</v>
      </c>
      <c r="K16" s="694">
        <v>0</v>
      </c>
      <c r="L16" s="694">
        <v>0</v>
      </c>
      <c r="M16" s="694">
        <v>0</v>
      </c>
      <c r="N16" s="694">
        <v>19082</v>
      </c>
      <c r="O16" s="694">
        <v>0</v>
      </c>
    </row>
    <row r="17" spans="1:15" s="695" customFormat="1" ht="15.75">
      <c r="A17" s="692">
        <v>7</v>
      </c>
      <c r="B17" s="693" t="s">
        <v>1005</v>
      </c>
      <c r="C17" s="693">
        <v>3906</v>
      </c>
      <c r="D17" s="694">
        <v>40</v>
      </c>
      <c r="E17" s="693">
        <v>0</v>
      </c>
      <c r="F17" s="693">
        <v>0</v>
      </c>
      <c r="G17" s="693">
        <v>0</v>
      </c>
      <c r="H17" s="693">
        <v>0</v>
      </c>
      <c r="I17" s="693">
        <v>0</v>
      </c>
      <c r="J17" s="693">
        <v>0</v>
      </c>
      <c r="K17" s="693">
        <v>0</v>
      </c>
      <c r="L17" s="693">
        <v>0</v>
      </c>
      <c r="M17" s="693">
        <v>0</v>
      </c>
      <c r="N17" s="693">
        <v>3866</v>
      </c>
      <c r="O17" s="693">
        <v>0</v>
      </c>
    </row>
    <row r="18" spans="1:15" s="695" customFormat="1" ht="15.75">
      <c r="A18" s="692">
        <v>8</v>
      </c>
      <c r="B18" s="693" t="s">
        <v>1006</v>
      </c>
      <c r="C18" s="694">
        <v>5152</v>
      </c>
      <c r="D18" s="694">
        <v>250</v>
      </c>
      <c r="E18" s="694">
        <v>0</v>
      </c>
      <c r="F18" s="694">
        <v>0</v>
      </c>
      <c r="G18" s="694">
        <v>0</v>
      </c>
      <c r="H18" s="694">
        <v>0</v>
      </c>
      <c r="I18" s="694">
        <v>0</v>
      </c>
      <c r="J18" s="694">
        <v>0</v>
      </c>
      <c r="K18" s="694">
        <v>0</v>
      </c>
      <c r="L18" s="694">
        <v>0</v>
      </c>
      <c r="M18" s="694">
        <v>0</v>
      </c>
      <c r="N18" s="694">
        <v>4902</v>
      </c>
      <c r="O18" s="694">
        <v>0</v>
      </c>
    </row>
    <row r="19" spans="1:15" s="695" customFormat="1" ht="15.75">
      <c r="A19" s="692">
        <v>9</v>
      </c>
      <c r="B19" s="693" t="s">
        <v>1007</v>
      </c>
      <c r="C19" s="693">
        <v>10725</v>
      </c>
      <c r="D19" s="694">
        <v>110</v>
      </c>
      <c r="E19" s="693">
        <v>0</v>
      </c>
      <c r="F19" s="693">
        <v>0</v>
      </c>
      <c r="G19" s="693">
        <v>0</v>
      </c>
      <c r="H19" s="693">
        <v>0</v>
      </c>
      <c r="I19" s="693">
        <v>0</v>
      </c>
      <c r="J19" s="693">
        <v>0</v>
      </c>
      <c r="K19" s="693">
        <v>0</v>
      </c>
      <c r="L19" s="693">
        <v>0</v>
      </c>
      <c r="M19" s="693">
        <v>0</v>
      </c>
      <c r="N19" s="693">
        <v>10615</v>
      </c>
      <c r="O19" s="693">
        <v>0</v>
      </c>
    </row>
    <row r="20" spans="1:15" s="695" customFormat="1" ht="15.75">
      <c r="A20" s="692">
        <v>10</v>
      </c>
      <c r="B20" s="693" t="s">
        <v>1008</v>
      </c>
      <c r="C20" s="694">
        <v>6141</v>
      </c>
      <c r="D20" s="694">
        <v>70</v>
      </c>
      <c r="E20" s="694">
        <v>0</v>
      </c>
      <c r="F20" s="694">
        <v>0</v>
      </c>
      <c r="G20" s="694">
        <v>0</v>
      </c>
      <c r="H20" s="694">
        <v>0</v>
      </c>
      <c r="I20" s="694">
        <v>0</v>
      </c>
      <c r="J20" s="694">
        <v>0</v>
      </c>
      <c r="K20" s="694">
        <v>0</v>
      </c>
      <c r="L20" s="694">
        <v>0</v>
      </c>
      <c r="M20" s="694">
        <v>0</v>
      </c>
      <c r="N20" s="694">
        <v>6071</v>
      </c>
      <c r="O20" s="694">
        <v>0</v>
      </c>
    </row>
    <row r="21" spans="1:15" s="695" customFormat="1" ht="15.75">
      <c r="A21" s="692">
        <v>11</v>
      </c>
      <c r="B21" s="693" t="s">
        <v>1009</v>
      </c>
      <c r="C21" s="694">
        <v>12485</v>
      </c>
      <c r="D21" s="694">
        <v>90</v>
      </c>
      <c r="E21" s="694">
        <v>0</v>
      </c>
      <c r="F21" s="694">
        <v>0</v>
      </c>
      <c r="G21" s="694">
        <v>0</v>
      </c>
      <c r="H21" s="694">
        <v>0</v>
      </c>
      <c r="I21" s="694">
        <v>0</v>
      </c>
      <c r="J21" s="694">
        <v>0</v>
      </c>
      <c r="K21" s="694">
        <v>0</v>
      </c>
      <c r="L21" s="694">
        <v>0</v>
      </c>
      <c r="M21" s="694">
        <v>0</v>
      </c>
      <c r="N21" s="694">
        <v>12395</v>
      </c>
      <c r="O21" s="694">
        <v>0</v>
      </c>
    </row>
    <row r="22" spans="1:15" s="695" customFormat="1" ht="15.75">
      <c r="A22" s="692">
        <v>12</v>
      </c>
      <c r="B22" s="693" t="s">
        <v>1010</v>
      </c>
      <c r="C22" s="693">
        <v>860</v>
      </c>
      <c r="D22" s="694">
        <v>15</v>
      </c>
      <c r="E22" s="693">
        <v>0</v>
      </c>
      <c r="F22" s="693">
        <v>0</v>
      </c>
      <c r="G22" s="693">
        <v>0</v>
      </c>
      <c r="H22" s="693">
        <v>0</v>
      </c>
      <c r="I22" s="693">
        <v>0</v>
      </c>
      <c r="J22" s="693">
        <v>0</v>
      </c>
      <c r="K22" s="693">
        <v>0</v>
      </c>
      <c r="L22" s="693">
        <v>0</v>
      </c>
      <c r="M22" s="693">
        <v>0</v>
      </c>
      <c r="N22" s="693">
        <v>845</v>
      </c>
      <c r="O22" s="693">
        <v>0</v>
      </c>
    </row>
    <row r="23" spans="1:15" s="695" customFormat="1" ht="15.75">
      <c r="A23" s="692">
        <v>13</v>
      </c>
      <c r="B23" s="693" t="s">
        <v>1011</v>
      </c>
      <c r="C23" s="693">
        <v>9546</v>
      </c>
      <c r="D23" s="694">
        <v>2000</v>
      </c>
      <c r="E23" s="693">
        <v>0</v>
      </c>
      <c r="F23" s="693">
        <v>0</v>
      </c>
      <c r="G23" s="693">
        <v>0</v>
      </c>
      <c r="H23" s="693">
        <v>0</v>
      </c>
      <c r="I23" s="693">
        <v>0</v>
      </c>
      <c r="J23" s="693">
        <v>0</v>
      </c>
      <c r="K23" s="693">
        <v>0</v>
      </c>
      <c r="L23" s="693">
        <v>0</v>
      </c>
      <c r="M23" s="693">
        <v>0</v>
      </c>
      <c r="N23" s="693">
        <v>7546</v>
      </c>
      <c r="O23" s="693">
        <v>0</v>
      </c>
    </row>
    <row r="24" spans="1:15" s="695" customFormat="1" ht="15.75">
      <c r="A24" s="692">
        <v>14</v>
      </c>
      <c r="B24" s="693" t="s">
        <v>1012</v>
      </c>
      <c r="C24" s="694">
        <v>21145</v>
      </c>
      <c r="D24" s="694">
        <v>10000</v>
      </c>
      <c r="E24" s="694">
        <v>0</v>
      </c>
      <c r="F24" s="694">
        <v>0</v>
      </c>
      <c r="G24" s="694">
        <v>0</v>
      </c>
      <c r="H24" s="694">
        <v>0</v>
      </c>
      <c r="I24" s="694">
        <v>0</v>
      </c>
      <c r="J24" s="694">
        <v>0</v>
      </c>
      <c r="K24" s="694">
        <v>0</v>
      </c>
      <c r="L24" s="694">
        <v>0</v>
      </c>
      <c r="M24" s="694">
        <v>0</v>
      </c>
      <c r="N24" s="694">
        <v>11145</v>
      </c>
      <c r="O24" s="694">
        <v>0</v>
      </c>
    </row>
    <row r="25" spans="1:15" s="695" customFormat="1" ht="15.75">
      <c r="A25" s="692">
        <v>15</v>
      </c>
      <c r="B25" s="693" t="s">
        <v>1602</v>
      </c>
      <c r="C25" s="694">
        <v>9684</v>
      </c>
      <c r="D25" s="694">
        <v>400</v>
      </c>
      <c r="E25" s="694">
        <v>0</v>
      </c>
      <c r="F25" s="694">
        <v>0</v>
      </c>
      <c r="G25" s="694">
        <v>0</v>
      </c>
      <c r="H25" s="694">
        <v>0</v>
      </c>
      <c r="I25" s="694">
        <v>0</v>
      </c>
      <c r="J25" s="694">
        <v>0</v>
      </c>
      <c r="K25" s="694">
        <v>0</v>
      </c>
      <c r="L25" s="694">
        <v>0</v>
      </c>
      <c r="M25" s="694">
        <v>0</v>
      </c>
      <c r="N25" s="694">
        <v>9284</v>
      </c>
      <c r="O25" s="694">
        <v>0</v>
      </c>
    </row>
    <row r="26" spans="1:15" s="695" customFormat="1" ht="15.75">
      <c r="A26" s="692">
        <v>16</v>
      </c>
      <c r="B26" s="693" t="s">
        <v>1606</v>
      </c>
      <c r="C26" s="693">
        <v>7281</v>
      </c>
      <c r="D26" s="694">
        <v>250</v>
      </c>
      <c r="E26" s="693">
        <v>0</v>
      </c>
      <c r="F26" s="693">
        <v>0</v>
      </c>
      <c r="G26" s="693">
        <v>0</v>
      </c>
      <c r="H26" s="693">
        <v>0</v>
      </c>
      <c r="I26" s="693">
        <v>0</v>
      </c>
      <c r="J26" s="693">
        <v>0</v>
      </c>
      <c r="K26" s="693">
        <v>0</v>
      </c>
      <c r="L26" s="693">
        <v>0</v>
      </c>
      <c r="M26" s="693">
        <v>0</v>
      </c>
      <c r="N26" s="693">
        <v>7031</v>
      </c>
      <c r="O26" s="693">
        <v>0</v>
      </c>
    </row>
    <row r="27" spans="1:15" s="695" customFormat="1" ht="15.75">
      <c r="A27" s="692">
        <v>17</v>
      </c>
      <c r="B27" s="693" t="s">
        <v>1015</v>
      </c>
      <c r="C27" s="694">
        <v>7789</v>
      </c>
      <c r="D27" s="694">
        <v>250</v>
      </c>
      <c r="E27" s="694">
        <v>0</v>
      </c>
      <c r="F27" s="694">
        <v>0</v>
      </c>
      <c r="G27" s="694">
        <v>0</v>
      </c>
      <c r="H27" s="694">
        <v>0</v>
      </c>
      <c r="I27" s="694">
        <v>0</v>
      </c>
      <c r="J27" s="694">
        <v>0</v>
      </c>
      <c r="K27" s="694">
        <v>0</v>
      </c>
      <c r="L27" s="694">
        <v>0</v>
      </c>
      <c r="M27" s="694">
        <v>0</v>
      </c>
      <c r="N27" s="694">
        <v>7539</v>
      </c>
      <c r="O27" s="694">
        <v>0</v>
      </c>
    </row>
    <row r="28" spans="1:15" s="695" customFormat="1" ht="15.75">
      <c r="A28" s="692">
        <v>18</v>
      </c>
      <c r="B28" s="693" t="s">
        <v>1016</v>
      </c>
      <c r="C28" s="693">
        <v>4254</v>
      </c>
      <c r="D28" s="694">
        <v>80</v>
      </c>
      <c r="E28" s="693">
        <v>0</v>
      </c>
      <c r="F28" s="693">
        <v>0</v>
      </c>
      <c r="G28" s="693">
        <v>0</v>
      </c>
      <c r="H28" s="693">
        <v>0</v>
      </c>
      <c r="I28" s="693">
        <v>0</v>
      </c>
      <c r="J28" s="693">
        <v>0</v>
      </c>
      <c r="K28" s="693">
        <v>0</v>
      </c>
      <c r="L28" s="693">
        <v>0</v>
      </c>
      <c r="M28" s="693">
        <v>0</v>
      </c>
      <c r="N28" s="693">
        <v>4174</v>
      </c>
      <c r="O28" s="693">
        <v>0</v>
      </c>
    </row>
    <row r="29" spans="1:15" s="695" customFormat="1" ht="15.75">
      <c r="A29" s="692">
        <v>19</v>
      </c>
      <c r="B29" s="693" t="s">
        <v>1017</v>
      </c>
      <c r="C29" s="694">
        <v>36219</v>
      </c>
      <c r="D29" s="694">
        <v>20100</v>
      </c>
      <c r="E29" s="694">
        <v>0</v>
      </c>
      <c r="F29" s="694">
        <v>0</v>
      </c>
      <c r="G29" s="694">
        <v>0</v>
      </c>
      <c r="H29" s="694">
        <v>0</v>
      </c>
      <c r="I29" s="694">
        <v>0</v>
      </c>
      <c r="J29" s="694">
        <v>0</v>
      </c>
      <c r="K29" s="694">
        <v>0</v>
      </c>
      <c r="L29" s="694">
        <v>0</v>
      </c>
      <c r="M29" s="694">
        <v>0</v>
      </c>
      <c r="N29" s="694">
        <v>16119</v>
      </c>
      <c r="O29" s="694">
        <v>0</v>
      </c>
    </row>
    <row r="30" spans="1:15" s="695" customFormat="1" ht="15.75">
      <c r="A30" s="692">
        <v>20</v>
      </c>
      <c r="B30" s="693" t="s">
        <v>1614</v>
      </c>
      <c r="C30" s="693">
        <v>5999</v>
      </c>
      <c r="D30" s="694">
        <v>40</v>
      </c>
      <c r="E30" s="693">
        <v>0</v>
      </c>
      <c r="F30" s="693">
        <v>0</v>
      </c>
      <c r="G30" s="693">
        <v>0</v>
      </c>
      <c r="H30" s="693">
        <v>0</v>
      </c>
      <c r="I30" s="693">
        <v>0</v>
      </c>
      <c r="J30" s="693">
        <v>0</v>
      </c>
      <c r="K30" s="693">
        <v>0</v>
      </c>
      <c r="L30" s="693">
        <v>0</v>
      </c>
      <c r="M30" s="693">
        <v>0</v>
      </c>
      <c r="N30" s="693">
        <v>5959</v>
      </c>
      <c r="O30" s="693">
        <v>0</v>
      </c>
    </row>
    <row r="31" spans="1:15" s="695" customFormat="1" ht="15.75">
      <c r="A31" s="692">
        <v>21</v>
      </c>
      <c r="B31" s="693" t="s">
        <v>1019</v>
      </c>
      <c r="C31" s="693">
        <v>2731</v>
      </c>
      <c r="D31" s="694">
        <v>200</v>
      </c>
      <c r="E31" s="693">
        <v>0</v>
      </c>
      <c r="F31" s="693">
        <v>0</v>
      </c>
      <c r="G31" s="693">
        <v>0</v>
      </c>
      <c r="H31" s="693">
        <v>0</v>
      </c>
      <c r="I31" s="693">
        <v>0</v>
      </c>
      <c r="J31" s="693">
        <v>0</v>
      </c>
      <c r="K31" s="693">
        <v>0</v>
      </c>
      <c r="L31" s="693">
        <v>0</v>
      </c>
      <c r="M31" s="693">
        <v>0</v>
      </c>
      <c r="N31" s="693">
        <v>2531</v>
      </c>
      <c r="O31" s="693">
        <v>0</v>
      </c>
    </row>
    <row r="32" spans="1:15" s="695" customFormat="1" ht="15.75">
      <c r="A32" s="692">
        <v>22</v>
      </c>
      <c r="B32" s="693" t="s">
        <v>1616</v>
      </c>
      <c r="C32" s="693">
        <v>4790</v>
      </c>
      <c r="D32" s="694">
        <v>20</v>
      </c>
      <c r="E32" s="693">
        <v>0</v>
      </c>
      <c r="F32" s="693">
        <v>0</v>
      </c>
      <c r="G32" s="693">
        <v>0</v>
      </c>
      <c r="H32" s="693">
        <v>0</v>
      </c>
      <c r="I32" s="693">
        <v>0</v>
      </c>
      <c r="J32" s="693">
        <v>0</v>
      </c>
      <c r="K32" s="693">
        <v>0</v>
      </c>
      <c r="L32" s="693">
        <v>0</v>
      </c>
      <c r="M32" s="694">
        <v>0</v>
      </c>
      <c r="N32" s="693">
        <v>4770</v>
      </c>
      <c r="O32" s="693">
        <v>0</v>
      </c>
    </row>
    <row r="33" spans="1:15" s="695" customFormat="1" ht="15.75">
      <c r="A33" s="692">
        <v>23</v>
      </c>
      <c r="B33" s="693" t="s">
        <v>1617</v>
      </c>
      <c r="C33" s="693">
        <v>4318</v>
      </c>
      <c r="D33" s="694">
        <v>40</v>
      </c>
      <c r="E33" s="693">
        <v>0</v>
      </c>
      <c r="F33" s="693">
        <v>0</v>
      </c>
      <c r="G33" s="693">
        <v>0</v>
      </c>
      <c r="H33" s="693">
        <v>0</v>
      </c>
      <c r="I33" s="693">
        <v>0</v>
      </c>
      <c r="J33" s="693">
        <v>0</v>
      </c>
      <c r="K33" s="693">
        <v>0</v>
      </c>
      <c r="L33" s="693">
        <v>0</v>
      </c>
      <c r="M33" s="694">
        <v>0</v>
      </c>
      <c r="N33" s="693">
        <v>4278</v>
      </c>
      <c r="O33" s="693">
        <v>0</v>
      </c>
    </row>
    <row r="34" spans="1:15" s="695" customFormat="1" ht="15.75">
      <c r="A34" s="692">
        <v>24</v>
      </c>
      <c r="B34" s="693" t="s">
        <v>1618</v>
      </c>
      <c r="C34" s="693">
        <v>3669</v>
      </c>
      <c r="D34" s="694">
        <v>20</v>
      </c>
      <c r="E34" s="693">
        <v>0</v>
      </c>
      <c r="F34" s="693">
        <v>0</v>
      </c>
      <c r="G34" s="693">
        <v>0</v>
      </c>
      <c r="H34" s="693">
        <v>0</v>
      </c>
      <c r="I34" s="693">
        <v>0</v>
      </c>
      <c r="J34" s="693">
        <v>0</v>
      </c>
      <c r="K34" s="693">
        <v>0</v>
      </c>
      <c r="L34" s="693">
        <v>0</v>
      </c>
      <c r="M34" s="694">
        <v>0</v>
      </c>
      <c r="N34" s="693">
        <v>3649</v>
      </c>
      <c r="O34" s="693">
        <v>0</v>
      </c>
    </row>
    <row r="35" spans="1:15" s="695" customFormat="1" ht="15.75">
      <c r="A35" s="692">
        <v>25</v>
      </c>
      <c r="B35" s="693" t="s">
        <v>1619</v>
      </c>
      <c r="C35" s="693">
        <v>4091</v>
      </c>
      <c r="D35" s="694">
        <v>30</v>
      </c>
      <c r="E35" s="693">
        <v>0</v>
      </c>
      <c r="F35" s="693">
        <v>0</v>
      </c>
      <c r="G35" s="693">
        <v>0</v>
      </c>
      <c r="H35" s="693">
        <v>0</v>
      </c>
      <c r="I35" s="693">
        <v>0</v>
      </c>
      <c r="J35" s="693">
        <v>0</v>
      </c>
      <c r="K35" s="693">
        <v>0</v>
      </c>
      <c r="L35" s="693">
        <v>0</v>
      </c>
      <c r="M35" s="694">
        <v>0</v>
      </c>
      <c r="N35" s="693">
        <v>4061</v>
      </c>
      <c r="O35" s="693">
        <v>0</v>
      </c>
    </row>
    <row r="36" spans="1:15" s="695" customFormat="1" ht="15.75">
      <c r="A36" s="697">
        <v>26</v>
      </c>
      <c r="B36" s="698" t="s">
        <v>1620</v>
      </c>
      <c r="C36" s="698">
        <v>2336</v>
      </c>
      <c r="D36" s="699">
        <v>5</v>
      </c>
      <c r="E36" s="698">
        <v>0</v>
      </c>
      <c r="F36" s="698">
        <v>0</v>
      </c>
      <c r="G36" s="698">
        <v>0</v>
      </c>
      <c r="H36" s="698">
        <v>0</v>
      </c>
      <c r="I36" s="698">
        <v>0</v>
      </c>
      <c r="J36" s="698">
        <v>0</v>
      </c>
      <c r="K36" s="698">
        <v>0</v>
      </c>
      <c r="L36" s="698">
        <v>0</v>
      </c>
      <c r="M36" s="699">
        <v>0</v>
      </c>
      <c r="N36" s="698">
        <v>2331</v>
      </c>
      <c r="O36" s="698">
        <v>0</v>
      </c>
    </row>
  </sheetData>
  <customSheetViews>
    <customSheetView guid="{9F606621-8853-4836-9A7E-DBA5CF152671}" showPageBreaks="1" topLeftCell="A54">
      <selection activeCell="I15" sqref="I15"/>
      <pageMargins left="0.70866141732283472" right="0.70866141732283472" top="0.74803149606299213" bottom="0.74803149606299213" header="0.31496062992125984" footer="0.31496062992125984"/>
      <pageSetup paperSize="8" scale="90" orientation="landscape" r:id="rId1"/>
    </customSheetView>
    <customSheetView guid="{DB9039ED-C6EA-422D-9A5D-D152D95EDC67}" showPageBreaks="1" zeroValues="0" printArea="1" hiddenRows="1" hiddenColumns="1" topLeftCell="A11">
      <selection activeCell="I15" sqref="I15"/>
      <pageMargins left="0.70866141732283472" right="0.51181102362204722" top="0.74803149606299213" bottom="0.74803149606299213" header="0.31496062992125984" footer="0.31496062992125984"/>
      <printOptions horizontalCentered="1"/>
      <pageSetup paperSize="9" scale="68" orientation="landscape" blackAndWhite="1" r:id="rId2"/>
    </customSheetView>
  </customSheetViews>
  <mergeCells count="19">
    <mergeCell ref="C6:C8"/>
    <mergeCell ref="B6:B8"/>
    <mergeCell ref="A6:A8"/>
    <mergeCell ref="A1:B1"/>
    <mergeCell ref="A2:B2"/>
    <mergeCell ref="A4:O4"/>
    <mergeCell ref="K7:K8"/>
    <mergeCell ref="L7:M7"/>
    <mergeCell ref="N7:N8"/>
    <mergeCell ref="O7:O8"/>
    <mergeCell ref="F7:F8"/>
    <mergeCell ref="G7:G8"/>
    <mergeCell ref="H7:H8"/>
    <mergeCell ref="I7:I8"/>
    <mergeCell ref="J7:J8"/>
    <mergeCell ref="D7:D8"/>
    <mergeCell ref="E7:E8"/>
    <mergeCell ref="M1:O1"/>
    <mergeCell ref="D6:O6"/>
  </mergeCells>
  <printOptions horizontalCentered="1"/>
  <pageMargins left="0.43" right="0.15748031496063" top="0.39370078740157499" bottom="0.15748031496063" header="0.23622047244094499" footer="0.15748031496063"/>
  <pageSetup paperSize="9" scale="70" orientation="landscape" r:id="rId3"/>
</worksheet>
</file>

<file path=xl/worksheets/sheet39.xml><?xml version="1.0" encoding="utf-8"?>
<worksheet xmlns="http://schemas.openxmlformats.org/spreadsheetml/2006/main" xmlns:r="http://schemas.openxmlformats.org/officeDocument/2006/relationships">
  <sheetPr>
    <tabColor rgb="FF7030A0"/>
  </sheetPr>
  <dimension ref="A1:T75"/>
  <sheetViews>
    <sheetView topLeftCell="A4" workbookViewId="0">
      <selection activeCell="E11" sqref="E11"/>
    </sheetView>
  </sheetViews>
  <sheetFormatPr defaultRowHeight="15"/>
  <cols>
    <col min="1" max="1" width="6.5703125" customWidth="1"/>
    <col min="2" max="2" width="22.28515625" customWidth="1"/>
  </cols>
  <sheetData>
    <row r="1" spans="1:20" ht="15.75">
      <c r="S1" s="26" t="s">
        <v>593</v>
      </c>
    </row>
    <row r="2" spans="1:20" ht="15.75">
      <c r="A2" s="774" t="s">
        <v>854</v>
      </c>
      <c r="B2" s="774"/>
      <c r="C2" s="774"/>
      <c r="D2" s="774"/>
      <c r="E2" s="774"/>
      <c r="F2" s="774"/>
      <c r="G2" s="774"/>
      <c r="H2" s="774"/>
      <c r="I2" s="774"/>
      <c r="J2" s="774"/>
      <c r="K2" s="774"/>
      <c r="L2" s="774"/>
      <c r="M2" s="774"/>
      <c r="N2" s="774"/>
      <c r="O2" s="774"/>
      <c r="P2" s="774"/>
      <c r="Q2" s="774"/>
      <c r="R2" s="774"/>
      <c r="S2" s="774"/>
      <c r="T2" t="s">
        <v>1324</v>
      </c>
    </row>
    <row r="3" spans="1:20" ht="15.75">
      <c r="A3" s="774" t="s">
        <v>126</v>
      </c>
      <c r="B3" s="774"/>
      <c r="C3" s="774"/>
      <c r="D3" s="774"/>
      <c r="E3" s="774"/>
      <c r="F3" s="774"/>
      <c r="G3" s="774"/>
      <c r="H3" s="774"/>
      <c r="I3" s="774"/>
      <c r="J3" s="774"/>
      <c r="K3" s="774"/>
      <c r="L3" s="774"/>
      <c r="M3" s="774"/>
      <c r="N3" s="774"/>
      <c r="O3" s="774"/>
      <c r="P3" s="774"/>
      <c r="Q3" s="774"/>
      <c r="R3" s="774"/>
      <c r="S3" s="774"/>
    </row>
    <row r="4" spans="1:20" ht="15.75">
      <c r="S4" s="27" t="s">
        <v>56</v>
      </c>
    </row>
    <row r="5" spans="1:20" ht="15.75">
      <c r="A5" s="773" t="s">
        <v>3</v>
      </c>
      <c r="B5" s="773" t="s">
        <v>467</v>
      </c>
      <c r="C5" s="773" t="s">
        <v>130</v>
      </c>
      <c r="D5" s="773" t="s">
        <v>162</v>
      </c>
      <c r="E5" s="773"/>
      <c r="F5" s="773" t="s">
        <v>900</v>
      </c>
      <c r="G5" s="773"/>
      <c r="H5" s="773"/>
      <c r="I5" s="773"/>
      <c r="J5" s="773"/>
      <c r="K5" s="773"/>
      <c r="L5" s="773"/>
      <c r="M5" s="773" t="s">
        <v>899</v>
      </c>
      <c r="N5" s="773"/>
      <c r="O5" s="773"/>
      <c r="P5" s="773"/>
      <c r="Q5" s="773"/>
      <c r="R5" s="773"/>
      <c r="S5" s="773"/>
    </row>
    <row r="6" spans="1:20" ht="24" customHeight="1">
      <c r="A6" s="773"/>
      <c r="B6" s="773"/>
      <c r="C6" s="773"/>
      <c r="D6" s="773" t="s">
        <v>609</v>
      </c>
      <c r="E6" s="773" t="s">
        <v>610</v>
      </c>
      <c r="F6" s="773" t="s">
        <v>130</v>
      </c>
      <c r="G6" s="773" t="s">
        <v>609</v>
      </c>
      <c r="H6" s="773"/>
      <c r="I6" s="773"/>
      <c r="J6" s="773" t="s">
        <v>610</v>
      </c>
      <c r="K6" s="773"/>
      <c r="L6" s="773"/>
      <c r="M6" s="773" t="s">
        <v>130</v>
      </c>
      <c r="N6" s="773" t="s">
        <v>609</v>
      </c>
      <c r="O6" s="773"/>
      <c r="P6" s="773"/>
      <c r="Q6" s="773" t="s">
        <v>610</v>
      </c>
      <c r="R6" s="773"/>
      <c r="S6" s="773"/>
    </row>
    <row r="7" spans="1:20" ht="61.5" customHeight="1">
      <c r="A7" s="773"/>
      <c r="B7" s="773"/>
      <c r="C7" s="773"/>
      <c r="D7" s="773"/>
      <c r="E7" s="773"/>
      <c r="F7" s="773"/>
      <c r="G7" s="30" t="s">
        <v>130</v>
      </c>
      <c r="H7" s="30" t="s">
        <v>135</v>
      </c>
      <c r="I7" s="30" t="s">
        <v>611</v>
      </c>
      <c r="J7" s="30" t="s">
        <v>130</v>
      </c>
      <c r="K7" s="30" t="s">
        <v>135</v>
      </c>
      <c r="L7" s="30" t="s">
        <v>611</v>
      </c>
      <c r="M7" s="773"/>
      <c r="N7" s="30" t="s">
        <v>130</v>
      </c>
      <c r="O7" s="30" t="s">
        <v>135</v>
      </c>
      <c r="P7" s="30" t="s">
        <v>611</v>
      </c>
      <c r="Q7" s="30" t="s">
        <v>130</v>
      </c>
      <c r="R7" s="30" t="s">
        <v>135</v>
      </c>
      <c r="S7" s="30" t="s">
        <v>611</v>
      </c>
    </row>
    <row r="8" spans="1:20" ht="31.5">
      <c r="A8" s="30" t="s">
        <v>15</v>
      </c>
      <c r="B8" s="30" t="s">
        <v>16</v>
      </c>
      <c r="C8" s="30" t="s">
        <v>494</v>
      </c>
      <c r="D8" s="30" t="s">
        <v>612</v>
      </c>
      <c r="E8" s="30" t="s">
        <v>613</v>
      </c>
      <c r="F8" s="30" t="s">
        <v>614</v>
      </c>
      <c r="G8" s="30" t="s">
        <v>615</v>
      </c>
      <c r="H8" s="30">
        <v>6</v>
      </c>
      <c r="I8" s="30">
        <v>7</v>
      </c>
      <c r="J8" s="30" t="s">
        <v>616</v>
      </c>
      <c r="K8" s="30">
        <v>9</v>
      </c>
      <c r="L8" s="30">
        <v>10</v>
      </c>
      <c r="M8" s="30" t="s">
        <v>617</v>
      </c>
      <c r="N8" s="30" t="s">
        <v>618</v>
      </c>
      <c r="O8" s="30">
        <v>13</v>
      </c>
      <c r="P8" s="30">
        <v>14</v>
      </c>
      <c r="Q8" s="30" t="s">
        <v>619</v>
      </c>
      <c r="R8" s="30">
        <v>16</v>
      </c>
      <c r="S8" s="30">
        <v>17</v>
      </c>
    </row>
    <row r="9" spans="1:20" ht="15.75">
      <c r="A9" s="71"/>
      <c r="B9" s="72"/>
      <c r="C9" s="73"/>
      <c r="D9" s="73"/>
      <c r="E9" s="73"/>
      <c r="F9" s="73"/>
      <c r="G9" s="73"/>
      <c r="H9" s="73"/>
      <c r="I9" s="73"/>
      <c r="J9" s="73"/>
      <c r="K9" s="73"/>
      <c r="L9" s="73"/>
      <c r="M9" s="73"/>
      <c r="N9" s="73"/>
      <c r="O9" s="73"/>
      <c r="P9" s="73"/>
      <c r="Q9" s="73"/>
      <c r="R9" s="73"/>
      <c r="S9" s="73"/>
    </row>
    <row r="10" spans="1:20" ht="15.75">
      <c r="A10" s="189"/>
      <c r="B10" s="335"/>
      <c r="C10" s="336"/>
      <c r="D10" s="336"/>
      <c r="E10" s="336"/>
      <c r="F10" s="336"/>
      <c r="G10" s="336"/>
      <c r="H10" s="336"/>
      <c r="I10" s="336"/>
      <c r="J10" s="336"/>
      <c r="K10" s="336"/>
      <c r="L10" s="336"/>
      <c r="M10" s="336"/>
      <c r="N10" s="336"/>
      <c r="O10" s="336"/>
      <c r="P10" s="336"/>
      <c r="Q10" s="336"/>
      <c r="R10" s="336"/>
      <c r="S10" s="336"/>
    </row>
    <row r="11" spans="1:20" ht="15.75">
      <c r="A11" s="189"/>
      <c r="B11" s="335" t="s">
        <v>133</v>
      </c>
      <c r="C11" s="336">
        <f>+D11+E11</f>
        <v>169576</v>
      </c>
      <c r="D11" s="336">
        <f>+G11+N11</f>
        <v>118246</v>
      </c>
      <c r="E11" s="336">
        <f>+J11+Q11</f>
        <v>51330</v>
      </c>
      <c r="F11" s="336">
        <f>G11+J11</f>
        <v>143700</v>
      </c>
      <c r="G11" s="336">
        <f>+H11+I11</f>
        <v>103100</v>
      </c>
      <c r="H11" s="336">
        <v>103100</v>
      </c>
      <c r="I11" s="336"/>
      <c r="J11" s="336">
        <f>+K11+L11</f>
        <v>40600</v>
      </c>
      <c r="K11" s="336">
        <v>40600</v>
      </c>
      <c r="L11" s="336"/>
      <c r="M11" s="336">
        <f>N11+Q11</f>
        <v>25876</v>
      </c>
      <c r="N11" s="336">
        <f>+O11+P11</f>
        <v>15146</v>
      </c>
      <c r="O11" s="336">
        <v>15146</v>
      </c>
      <c r="P11" s="336"/>
      <c r="Q11" s="336">
        <f>+R11+S11</f>
        <v>10730</v>
      </c>
      <c r="R11" s="336">
        <v>10730</v>
      </c>
      <c r="S11" s="336"/>
    </row>
    <row r="12" spans="1:20" ht="15.75">
      <c r="A12" s="189"/>
      <c r="B12" s="335"/>
      <c r="C12" s="336"/>
      <c r="D12" s="336"/>
      <c r="E12" s="336"/>
      <c r="F12" s="336"/>
      <c r="G12" s="336"/>
      <c r="H12" s="336"/>
      <c r="I12" s="336"/>
      <c r="J12" s="336"/>
      <c r="K12" s="336"/>
      <c r="L12" s="336"/>
      <c r="M12" s="336"/>
      <c r="N12" s="336"/>
      <c r="O12" s="336"/>
      <c r="P12" s="336"/>
      <c r="Q12" s="336"/>
      <c r="R12" s="336"/>
      <c r="S12" s="336"/>
    </row>
    <row r="13" spans="1:20" ht="15.75">
      <c r="A13" s="189"/>
      <c r="B13" s="335" t="s">
        <v>133</v>
      </c>
      <c r="C13" s="336"/>
      <c r="D13" s="336"/>
      <c r="E13" s="336"/>
      <c r="F13" s="336"/>
      <c r="G13" s="336"/>
      <c r="H13" s="336"/>
      <c r="I13" s="336"/>
      <c r="J13" s="336"/>
      <c r="K13" s="336"/>
      <c r="L13" s="336"/>
      <c r="M13" s="336"/>
      <c r="N13" s="336"/>
      <c r="O13" s="336"/>
      <c r="P13" s="336"/>
      <c r="Q13" s="336"/>
      <c r="R13" s="336"/>
      <c r="S13" s="336"/>
    </row>
    <row r="14" spans="1:20" ht="15.75">
      <c r="A14" s="74" t="s">
        <v>83</v>
      </c>
      <c r="B14" s="335" t="s">
        <v>855</v>
      </c>
      <c r="C14" s="158"/>
      <c r="D14" s="158"/>
      <c r="E14" s="158"/>
      <c r="F14" s="158"/>
      <c r="G14" s="158"/>
      <c r="H14" s="158"/>
      <c r="I14" s="158"/>
      <c r="J14" s="158"/>
      <c r="K14" s="158"/>
      <c r="L14" s="158"/>
      <c r="M14" s="158"/>
      <c r="N14" s="158"/>
      <c r="O14" s="158"/>
      <c r="P14" s="158"/>
      <c r="Q14" s="158"/>
      <c r="R14" s="158"/>
      <c r="S14" s="158"/>
    </row>
    <row r="15" spans="1:20" ht="15.75">
      <c r="A15" s="76">
        <v>1</v>
      </c>
      <c r="B15" s="77" t="s">
        <v>166</v>
      </c>
      <c r="C15" s="158"/>
      <c r="D15" s="158"/>
      <c r="E15" s="158"/>
      <c r="F15" s="158"/>
      <c r="G15" s="158"/>
      <c r="H15" s="158"/>
      <c r="I15" s="158"/>
      <c r="J15" s="158"/>
      <c r="K15" s="158"/>
      <c r="L15" s="158"/>
      <c r="M15" s="158"/>
      <c r="N15" s="158"/>
      <c r="O15" s="158"/>
      <c r="P15" s="158"/>
      <c r="Q15" s="158"/>
      <c r="R15" s="158"/>
      <c r="S15" s="158"/>
    </row>
    <row r="16" spans="1:20" ht="15.75">
      <c r="A16" s="76">
        <v>2</v>
      </c>
      <c r="B16" s="77" t="s">
        <v>167</v>
      </c>
      <c r="C16" s="158"/>
      <c r="D16" s="158"/>
      <c r="E16" s="158"/>
      <c r="F16" s="158"/>
      <c r="G16" s="158"/>
      <c r="H16" s="158"/>
      <c r="I16" s="158"/>
      <c r="J16" s="158"/>
      <c r="K16" s="158"/>
      <c r="L16" s="158"/>
      <c r="M16" s="158"/>
      <c r="N16" s="158"/>
      <c r="O16" s="158"/>
      <c r="P16" s="158"/>
      <c r="Q16" s="158"/>
      <c r="R16" s="158"/>
      <c r="S16" s="158"/>
    </row>
    <row r="17" spans="1:19" ht="15.75">
      <c r="A17" s="76">
        <v>3</v>
      </c>
      <c r="B17" s="77"/>
      <c r="C17" s="158"/>
      <c r="D17" s="158"/>
      <c r="E17" s="158"/>
      <c r="F17" s="158"/>
      <c r="G17" s="158"/>
      <c r="H17" s="158"/>
      <c r="I17" s="158"/>
      <c r="J17" s="158"/>
      <c r="K17" s="158"/>
      <c r="L17" s="158"/>
      <c r="M17" s="158"/>
      <c r="N17" s="158"/>
      <c r="O17" s="158"/>
      <c r="P17" s="158"/>
      <c r="Q17" s="158"/>
      <c r="R17" s="158"/>
      <c r="S17" s="158"/>
    </row>
    <row r="18" spans="1:19" ht="15.75">
      <c r="A18" s="76">
        <v>4</v>
      </c>
      <c r="B18" s="77"/>
      <c r="C18" s="158"/>
      <c r="D18" s="158"/>
      <c r="E18" s="158"/>
      <c r="F18" s="158"/>
      <c r="G18" s="158"/>
      <c r="H18" s="158"/>
      <c r="I18" s="158"/>
      <c r="J18" s="158"/>
      <c r="K18" s="158"/>
      <c r="L18" s="158"/>
      <c r="M18" s="158"/>
      <c r="N18" s="158"/>
      <c r="O18" s="158"/>
      <c r="P18" s="158"/>
      <c r="Q18" s="158"/>
      <c r="R18" s="158"/>
      <c r="S18" s="158"/>
    </row>
    <row r="19" spans="1:19" ht="15.75">
      <c r="A19" s="76">
        <v>5</v>
      </c>
      <c r="B19" s="77"/>
      <c r="C19" s="158"/>
      <c r="D19" s="158"/>
      <c r="E19" s="158"/>
      <c r="F19" s="158"/>
      <c r="G19" s="158"/>
      <c r="H19" s="158"/>
      <c r="I19" s="158"/>
      <c r="J19" s="158"/>
      <c r="K19" s="158"/>
      <c r="L19" s="158"/>
      <c r="M19" s="158"/>
      <c r="N19" s="158"/>
      <c r="O19" s="158"/>
      <c r="P19" s="158"/>
      <c r="Q19" s="158"/>
      <c r="R19" s="158"/>
      <c r="S19" s="158"/>
    </row>
    <row r="20" spans="1:19" ht="15.75">
      <c r="A20" s="76">
        <v>6</v>
      </c>
      <c r="B20" s="77"/>
      <c r="C20" s="158"/>
      <c r="D20" s="158"/>
      <c r="E20" s="158"/>
      <c r="F20" s="158"/>
      <c r="G20" s="158"/>
      <c r="H20" s="158"/>
      <c r="I20" s="158"/>
      <c r="J20" s="158"/>
      <c r="K20" s="158"/>
      <c r="L20" s="158"/>
      <c r="M20" s="158"/>
      <c r="N20" s="158"/>
      <c r="O20" s="158"/>
      <c r="P20" s="158"/>
      <c r="Q20" s="158"/>
      <c r="R20" s="158"/>
      <c r="S20" s="158"/>
    </row>
    <row r="21" spans="1:19" ht="15.75">
      <c r="A21" s="76">
        <v>7</v>
      </c>
      <c r="B21" s="77"/>
      <c r="C21" s="158"/>
      <c r="D21" s="158"/>
      <c r="E21" s="158"/>
      <c r="F21" s="158"/>
      <c r="G21" s="158"/>
      <c r="H21" s="158"/>
      <c r="I21" s="158"/>
      <c r="J21" s="158"/>
      <c r="K21" s="158"/>
      <c r="L21" s="158"/>
      <c r="M21" s="158"/>
      <c r="N21" s="158"/>
      <c r="O21" s="158"/>
      <c r="P21" s="158"/>
      <c r="Q21" s="158"/>
      <c r="R21" s="158"/>
      <c r="S21" s="158"/>
    </row>
    <row r="22" spans="1:19" ht="15.75">
      <c r="A22" s="76">
        <v>8</v>
      </c>
      <c r="B22" s="77"/>
      <c r="C22" s="158"/>
      <c r="D22" s="158"/>
      <c r="E22" s="158"/>
      <c r="F22" s="158"/>
      <c r="G22" s="158"/>
      <c r="H22" s="158"/>
      <c r="I22" s="158"/>
      <c r="J22" s="158"/>
      <c r="K22" s="158"/>
      <c r="L22" s="158"/>
      <c r="M22" s="158"/>
      <c r="N22" s="158"/>
      <c r="O22" s="158"/>
      <c r="P22" s="158"/>
      <c r="Q22" s="158"/>
      <c r="R22" s="158"/>
      <c r="S22" s="158"/>
    </row>
    <row r="23" spans="1:19" ht="15.75">
      <c r="A23" s="76">
        <v>9</v>
      </c>
      <c r="B23" s="77"/>
      <c r="C23" s="158"/>
      <c r="D23" s="158"/>
      <c r="E23" s="158"/>
      <c r="F23" s="158"/>
      <c r="G23" s="158"/>
      <c r="H23" s="158"/>
      <c r="I23" s="158"/>
      <c r="J23" s="158"/>
      <c r="K23" s="158"/>
      <c r="L23" s="158"/>
      <c r="M23" s="158"/>
      <c r="N23" s="158"/>
      <c r="O23" s="158"/>
      <c r="P23" s="158"/>
      <c r="Q23" s="158"/>
      <c r="R23" s="158"/>
      <c r="S23" s="158"/>
    </row>
    <row r="24" spans="1:19" ht="15.75">
      <c r="A24" s="76">
        <v>10</v>
      </c>
      <c r="B24" s="77"/>
      <c r="C24" s="158"/>
      <c r="D24" s="158"/>
      <c r="E24" s="158"/>
      <c r="F24" s="158"/>
      <c r="G24" s="158"/>
      <c r="H24" s="158"/>
      <c r="I24" s="158"/>
      <c r="J24" s="158"/>
      <c r="K24" s="158"/>
      <c r="L24" s="158"/>
      <c r="M24" s="158"/>
      <c r="N24" s="158"/>
      <c r="O24" s="158"/>
      <c r="P24" s="158"/>
      <c r="Q24" s="158"/>
      <c r="R24" s="158"/>
      <c r="S24" s="158"/>
    </row>
    <row r="25" spans="1:19" ht="15.75">
      <c r="A25" s="76">
        <v>11</v>
      </c>
      <c r="B25" s="77"/>
      <c r="C25" s="158"/>
      <c r="D25" s="158"/>
      <c r="E25" s="158"/>
      <c r="F25" s="158"/>
      <c r="G25" s="158"/>
      <c r="H25" s="158"/>
      <c r="I25" s="158"/>
      <c r="J25" s="158"/>
      <c r="K25" s="158"/>
      <c r="L25" s="158"/>
      <c r="M25" s="158"/>
      <c r="N25" s="158"/>
      <c r="O25" s="158"/>
      <c r="P25" s="158"/>
      <c r="Q25" s="158"/>
      <c r="R25" s="158"/>
      <c r="S25" s="158"/>
    </row>
    <row r="26" spans="1:19" ht="15.75">
      <c r="A26" s="76">
        <v>12</v>
      </c>
      <c r="B26" s="77"/>
      <c r="C26" s="158"/>
      <c r="D26" s="158"/>
      <c r="E26" s="158"/>
      <c r="F26" s="158"/>
      <c r="G26" s="158"/>
      <c r="H26" s="158"/>
      <c r="I26" s="158"/>
      <c r="J26" s="158"/>
      <c r="K26" s="158"/>
      <c r="L26" s="158"/>
      <c r="M26" s="158"/>
      <c r="N26" s="158"/>
      <c r="O26" s="158"/>
      <c r="P26" s="158"/>
      <c r="Q26" s="158"/>
      <c r="R26" s="158"/>
      <c r="S26" s="158"/>
    </row>
    <row r="27" spans="1:19" ht="15.75">
      <c r="A27" s="76">
        <v>13</v>
      </c>
      <c r="B27" s="77"/>
      <c r="C27" s="158"/>
      <c r="D27" s="158"/>
      <c r="E27" s="158"/>
      <c r="F27" s="158"/>
      <c r="G27" s="158"/>
      <c r="H27" s="158"/>
      <c r="I27" s="158"/>
      <c r="J27" s="158"/>
      <c r="K27" s="158"/>
      <c r="L27" s="158"/>
      <c r="M27" s="158"/>
      <c r="N27" s="158"/>
      <c r="O27" s="158"/>
      <c r="P27" s="158"/>
      <c r="Q27" s="158"/>
      <c r="R27" s="158"/>
      <c r="S27" s="158"/>
    </row>
    <row r="28" spans="1:19" ht="15.75">
      <c r="A28" s="76">
        <v>14</v>
      </c>
      <c r="B28" s="77"/>
      <c r="C28" s="158"/>
      <c r="D28" s="158"/>
      <c r="E28" s="158"/>
      <c r="F28" s="158"/>
      <c r="G28" s="158"/>
      <c r="H28" s="158"/>
      <c r="I28" s="158"/>
      <c r="J28" s="158"/>
      <c r="K28" s="158"/>
      <c r="L28" s="158"/>
      <c r="M28" s="158"/>
      <c r="N28" s="158"/>
      <c r="O28" s="158"/>
      <c r="P28" s="158"/>
      <c r="Q28" s="158"/>
      <c r="R28" s="158"/>
      <c r="S28" s="158"/>
    </row>
    <row r="29" spans="1:19" ht="15.75">
      <c r="A29" s="76">
        <v>15</v>
      </c>
      <c r="B29" s="77"/>
      <c r="C29" s="158"/>
      <c r="D29" s="158"/>
      <c r="E29" s="158"/>
      <c r="F29" s="158"/>
      <c r="G29" s="158"/>
      <c r="H29" s="158"/>
      <c r="I29" s="158"/>
      <c r="J29" s="158"/>
      <c r="K29" s="158"/>
      <c r="L29" s="158"/>
      <c r="M29" s="158"/>
      <c r="N29" s="158"/>
      <c r="O29" s="158"/>
      <c r="P29" s="158"/>
      <c r="Q29" s="158"/>
      <c r="R29" s="158"/>
      <c r="S29" s="158"/>
    </row>
    <row r="30" spans="1:19" ht="15.75">
      <c r="A30" s="76">
        <v>16</v>
      </c>
      <c r="B30" s="77"/>
      <c r="C30" s="158"/>
      <c r="D30" s="158"/>
      <c r="E30" s="158"/>
      <c r="F30" s="158"/>
      <c r="G30" s="158"/>
      <c r="H30" s="158"/>
      <c r="I30" s="158"/>
      <c r="J30" s="158"/>
      <c r="K30" s="158"/>
      <c r="L30" s="158"/>
      <c r="M30" s="158"/>
      <c r="N30" s="158"/>
      <c r="O30" s="158"/>
      <c r="P30" s="158"/>
      <c r="Q30" s="158"/>
      <c r="R30" s="158"/>
      <c r="S30" s="158"/>
    </row>
    <row r="31" spans="1:19" ht="15.75">
      <c r="A31" s="76">
        <v>17</v>
      </c>
      <c r="B31" s="77"/>
      <c r="C31" s="158"/>
      <c r="D31" s="158"/>
      <c r="E31" s="158"/>
      <c r="F31" s="158"/>
      <c r="G31" s="158"/>
      <c r="H31" s="158"/>
      <c r="I31" s="158"/>
      <c r="J31" s="158"/>
      <c r="K31" s="158"/>
      <c r="L31" s="158"/>
      <c r="M31" s="158"/>
      <c r="N31" s="158"/>
      <c r="O31" s="158"/>
      <c r="P31" s="158"/>
      <c r="Q31" s="158"/>
      <c r="R31" s="158"/>
      <c r="S31" s="158"/>
    </row>
    <row r="32" spans="1:19" ht="15.75">
      <c r="A32" s="76">
        <v>18</v>
      </c>
      <c r="B32" s="77"/>
      <c r="C32" s="158"/>
      <c r="D32" s="158"/>
      <c r="E32" s="158"/>
      <c r="F32" s="158"/>
      <c r="G32" s="158"/>
      <c r="H32" s="158"/>
      <c r="I32" s="158"/>
      <c r="J32" s="158"/>
      <c r="K32" s="158"/>
      <c r="L32" s="158"/>
      <c r="M32" s="158"/>
      <c r="N32" s="158"/>
      <c r="O32" s="158"/>
      <c r="P32" s="158"/>
      <c r="Q32" s="158"/>
      <c r="R32" s="158"/>
      <c r="S32" s="158"/>
    </row>
    <row r="33" spans="1:19" ht="15.75">
      <c r="A33" s="76">
        <v>19</v>
      </c>
      <c r="B33" s="77" t="s">
        <v>51</v>
      </c>
      <c r="C33" s="158"/>
      <c r="D33" s="158"/>
      <c r="E33" s="158"/>
      <c r="F33" s="158"/>
      <c r="G33" s="158"/>
      <c r="H33" s="158"/>
      <c r="I33" s="158"/>
      <c r="J33" s="158"/>
      <c r="K33" s="158"/>
      <c r="L33" s="158"/>
      <c r="M33" s="158"/>
      <c r="N33" s="158"/>
      <c r="O33" s="158"/>
      <c r="P33" s="158"/>
      <c r="Q33" s="158"/>
      <c r="R33" s="158"/>
      <c r="S33" s="158"/>
    </row>
    <row r="34" spans="1:19" ht="15.75">
      <c r="A34" s="74" t="s">
        <v>70</v>
      </c>
      <c r="B34" s="75" t="s">
        <v>317</v>
      </c>
      <c r="C34" s="158"/>
      <c r="D34" s="158"/>
      <c r="E34" s="158"/>
      <c r="F34" s="158"/>
      <c r="G34" s="158"/>
      <c r="H34" s="158"/>
      <c r="I34" s="158"/>
      <c r="J34" s="158"/>
      <c r="K34" s="158"/>
      <c r="L34" s="158"/>
      <c r="M34" s="158"/>
      <c r="N34" s="158"/>
      <c r="O34" s="158"/>
      <c r="P34" s="158"/>
      <c r="Q34" s="158"/>
      <c r="R34" s="158"/>
      <c r="S34" s="158"/>
    </row>
    <row r="35" spans="1:19" ht="15.75">
      <c r="A35" s="83">
        <v>1</v>
      </c>
      <c r="B35" s="60" t="s">
        <v>831</v>
      </c>
      <c r="C35" s="158"/>
      <c r="D35" s="158"/>
      <c r="E35" s="158"/>
      <c r="F35" s="158"/>
      <c r="G35" s="158"/>
      <c r="H35" s="158"/>
      <c r="I35" s="158"/>
      <c r="J35" s="158"/>
      <c r="K35" s="158"/>
      <c r="L35" s="158"/>
      <c r="M35" s="158"/>
      <c r="N35" s="158"/>
      <c r="O35" s="158"/>
      <c r="P35" s="158"/>
      <c r="Q35" s="158"/>
      <c r="R35" s="158"/>
      <c r="S35" s="158"/>
    </row>
    <row r="36" spans="1:19" ht="15.75">
      <c r="A36" s="83">
        <v>2</v>
      </c>
      <c r="B36" s="60" t="s">
        <v>917</v>
      </c>
      <c r="C36" s="158"/>
      <c r="D36" s="158"/>
      <c r="E36" s="158"/>
      <c r="F36" s="158"/>
      <c r="G36" s="158"/>
      <c r="H36" s="158"/>
      <c r="I36" s="158"/>
      <c r="J36" s="158"/>
      <c r="K36" s="158"/>
      <c r="L36" s="158"/>
      <c r="M36" s="158"/>
      <c r="N36" s="158"/>
      <c r="O36" s="158"/>
      <c r="P36" s="158"/>
      <c r="Q36" s="158"/>
      <c r="R36" s="158"/>
      <c r="S36" s="158"/>
    </row>
    <row r="37" spans="1:19" ht="15.75">
      <c r="A37" s="83">
        <v>3</v>
      </c>
      <c r="B37" s="60" t="s">
        <v>918</v>
      </c>
      <c r="C37" s="158"/>
      <c r="D37" s="158"/>
      <c r="E37" s="158"/>
      <c r="F37" s="158"/>
      <c r="G37" s="158"/>
      <c r="H37" s="158"/>
      <c r="I37" s="158"/>
      <c r="J37" s="158"/>
      <c r="K37" s="158"/>
      <c r="L37" s="158"/>
      <c r="M37" s="158"/>
      <c r="N37" s="158"/>
      <c r="O37" s="158"/>
      <c r="P37" s="158"/>
      <c r="Q37" s="158"/>
      <c r="R37" s="158"/>
      <c r="S37" s="158"/>
    </row>
    <row r="38" spans="1:19" ht="15.75">
      <c r="A38" s="83">
        <v>4</v>
      </c>
      <c r="B38" s="60" t="s">
        <v>919</v>
      </c>
      <c r="C38" s="158"/>
      <c r="D38" s="158"/>
      <c r="E38" s="158"/>
      <c r="F38" s="158"/>
      <c r="G38" s="158"/>
      <c r="H38" s="158"/>
      <c r="I38" s="158"/>
      <c r="J38" s="158"/>
      <c r="K38" s="158"/>
      <c r="L38" s="158"/>
      <c r="M38" s="158"/>
      <c r="N38" s="158"/>
      <c r="O38" s="158"/>
      <c r="P38" s="158"/>
      <c r="Q38" s="158"/>
      <c r="R38" s="158"/>
      <c r="S38" s="158"/>
    </row>
    <row r="39" spans="1:19" ht="15.75">
      <c r="A39" s="83">
        <v>5</v>
      </c>
      <c r="B39" s="60" t="s">
        <v>920</v>
      </c>
      <c r="C39" s="158"/>
      <c r="D39" s="158"/>
      <c r="E39" s="158"/>
      <c r="F39" s="158"/>
      <c r="G39" s="158"/>
      <c r="H39" s="158"/>
      <c r="I39" s="158"/>
      <c r="J39" s="158"/>
      <c r="K39" s="158"/>
      <c r="L39" s="158"/>
      <c r="M39" s="158"/>
      <c r="N39" s="158"/>
      <c r="O39" s="158"/>
      <c r="P39" s="158"/>
      <c r="Q39" s="158"/>
      <c r="R39" s="158"/>
      <c r="S39" s="158"/>
    </row>
    <row r="40" spans="1:19" ht="15.75">
      <c r="A40" s="83">
        <v>6</v>
      </c>
      <c r="B40" s="60" t="s">
        <v>921</v>
      </c>
      <c r="C40" s="158"/>
      <c r="D40" s="158"/>
      <c r="E40" s="158"/>
      <c r="F40" s="158"/>
      <c r="G40" s="158"/>
      <c r="H40" s="158"/>
      <c r="I40" s="158"/>
      <c r="J40" s="158"/>
      <c r="K40" s="158"/>
      <c r="L40" s="158"/>
      <c r="M40" s="158"/>
      <c r="N40" s="158"/>
      <c r="O40" s="158"/>
      <c r="P40" s="158"/>
      <c r="Q40" s="158"/>
      <c r="R40" s="158"/>
      <c r="S40" s="158"/>
    </row>
    <row r="41" spans="1:19" ht="15.75">
      <c r="A41" s="83">
        <v>7</v>
      </c>
      <c r="B41" s="60" t="s">
        <v>922</v>
      </c>
      <c r="C41" s="158"/>
      <c r="D41" s="158"/>
      <c r="E41" s="158"/>
      <c r="F41" s="158"/>
      <c r="G41" s="158"/>
      <c r="H41" s="158"/>
      <c r="I41" s="158"/>
      <c r="J41" s="158"/>
      <c r="K41" s="158"/>
      <c r="L41" s="158"/>
      <c r="M41" s="158"/>
      <c r="N41" s="158"/>
      <c r="O41" s="158"/>
      <c r="P41" s="158"/>
      <c r="Q41" s="158"/>
      <c r="R41" s="158"/>
      <c r="S41" s="158"/>
    </row>
    <row r="42" spans="1:19" ht="15.75">
      <c r="A42" s="83">
        <v>8</v>
      </c>
      <c r="B42" s="60" t="s">
        <v>923</v>
      </c>
      <c r="C42" s="158"/>
      <c r="D42" s="158"/>
      <c r="E42" s="158"/>
      <c r="F42" s="158"/>
      <c r="G42" s="158"/>
      <c r="H42" s="158"/>
      <c r="I42" s="158"/>
      <c r="J42" s="158"/>
      <c r="K42" s="158"/>
      <c r="L42" s="158"/>
      <c r="M42" s="158"/>
      <c r="N42" s="158"/>
      <c r="O42" s="158"/>
      <c r="P42" s="158"/>
      <c r="Q42" s="158"/>
      <c r="R42" s="158"/>
      <c r="S42" s="158"/>
    </row>
    <row r="43" spans="1:19" ht="15.75">
      <c r="A43" s="83">
        <v>9</v>
      </c>
      <c r="B43" s="60" t="s">
        <v>924</v>
      </c>
      <c r="C43" s="158"/>
      <c r="D43" s="158"/>
      <c r="E43" s="158"/>
      <c r="F43" s="158"/>
      <c r="G43" s="158"/>
      <c r="H43" s="158"/>
      <c r="I43" s="158"/>
      <c r="J43" s="158"/>
      <c r="K43" s="158"/>
      <c r="L43" s="158"/>
      <c r="M43" s="158"/>
      <c r="N43" s="158"/>
      <c r="O43" s="158"/>
      <c r="P43" s="158"/>
      <c r="Q43" s="158"/>
      <c r="R43" s="158"/>
      <c r="S43" s="158"/>
    </row>
    <row r="44" spans="1:19" ht="15.75">
      <c r="A44" s="83">
        <v>10</v>
      </c>
      <c r="B44" s="60" t="s">
        <v>925</v>
      </c>
      <c r="C44" s="158"/>
      <c r="D44" s="158"/>
      <c r="E44" s="158"/>
      <c r="F44" s="158"/>
      <c r="G44" s="158"/>
      <c r="H44" s="158"/>
      <c r="I44" s="158"/>
      <c r="J44" s="158"/>
      <c r="K44" s="158"/>
      <c r="L44" s="158"/>
      <c r="M44" s="158"/>
      <c r="N44" s="158"/>
      <c r="O44" s="158"/>
      <c r="P44" s="158"/>
      <c r="Q44" s="158"/>
      <c r="R44" s="158"/>
      <c r="S44" s="158"/>
    </row>
    <row r="45" spans="1:19" ht="15.75">
      <c r="A45" s="83">
        <v>11</v>
      </c>
      <c r="B45" s="60" t="s">
        <v>926</v>
      </c>
      <c r="C45" s="158"/>
      <c r="D45" s="158"/>
      <c r="E45" s="158"/>
      <c r="F45" s="158"/>
      <c r="G45" s="158"/>
      <c r="H45" s="158"/>
      <c r="I45" s="158"/>
      <c r="J45" s="158"/>
      <c r="K45" s="158"/>
      <c r="L45" s="158"/>
      <c r="M45" s="158"/>
      <c r="N45" s="158"/>
      <c r="O45" s="158"/>
      <c r="P45" s="158"/>
      <c r="Q45" s="158"/>
      <c r="R45" s="158"/>
      <c r="S45" s="158"/>
    </row>
    <row r="46" spans="1:19" ht="15.75">
      <c r="A46" s="83">
        <v>12</v>
      </c>
      <c r="B46" s="60" t="s">
        <v>927</v>
      </c>
      <c r="C46" s="158"/>
      <c r="D46" s="158"/>
      <c r="E46" s="158"/>
      <c r="F46" s="158"/>
      <c r="G46" s="158"/>
      <c r="H46" s="158"/>
      <c r="I46" s="158"/>
      <c r="J46" s="158"/>
      <c r="K46" s="158"/>
      <c r="L46" s="158"/>
      <c r="M46" s="158"/>
      <c r="N46" s="158"/>
      <c r="O46" s="158"/>
      <c r="P46" s="158"/>
      <c r="Q46" s="158"/>
      <c r="R46" s="158"/>
      <c r="S46" s="158"/>
    </row>
    <row r="47" spans="1:19" ht="15.75">
      <c r="A47" s="83">
        <v>13</v>
      </c>
      <c r="B47" s="60" t="s">
        <v>928</v>
      </c>
      <c r="C47" s="158"/>
      <c r="D47" s="158"/>
      <c r="E47" s="158"/>
      <c r="F47" s="158"/>
      <c r="G47" s="158"/>
      <c r="H47" s="158"/>
      <c r="I47" s="158"/>
      <c r="J47" s="158"/>
      <c r="K47" s="158"/>
      <c r="L47" s="158"/>
      <c r="M47" s="158"/>
      <c r="N47" s="158"/>
      <c r="O47" s="158"/>
      <c r="P47" s="158"/>
      <c r="Q47" s="158"/>
      <c r="R47" s="158"/>
      <c r="S47" s="158"/>
    </row>
    <row r="48" spans="1:19" ht="15.75">
      <c r="A48" s="83">
        <v>14</v>
      </c>
      <c r="B48" s="60" t="s">
        <v>929</v>
      </c>
      <c r="C48" s="158"/>
      <c r="D48" s="158"/>
      <c r="E48" s="158"/>
      <c r="F48" s="158"/>
      <c r="G48" s="158"/>
      <c r="H48" s="158"/>
      <c r="I48" s="158"/>
      <c r="J48" s="158"/>
      <c r="K48" s="158"/>
      <c r="L48" s="158"/>
      <c r="M48" s="158"/>
      <c r="N48" s="158"/>
      <c r="O48" s="158"/>
      <c r="P48" s="158"/>
      <c r="Q48" s="158"/>
      <c r="R48" s="158"/>
      <c r="S48" s="158"/>
    </row>
    <row r="49" spans="1:19" ht="15.75">
      <c r="A49" s="83">
        <v>15</v>
      </c>
      <c r="B49" s="60" t="s">
        <v>930</v>
      </c>
      <c r="C49" s="158"/>
      <c r="D49" s="158"/>
      <c r="E49" s="158"/>
      <c r="F49" s="158"/>
      <c r="G49" s="158"/>
      <c r="H49" s="158"/>
      <c r="I49" s="158"/>
      <c r="J49" s="158"/>
      <c r="K49" s="158"/>
      <c r="L49" s="158"/>
      <c r="M49" s="158"/>
      <c r="N49" s="158"/>
      <c r="O49" s="158"/>
      <c r="P49" s="158"/>
      <c r="Q49" s="158"/>
      <c r="R49" s="158"/>
      <c r="S49" s="158"/>
    </row>
    <row r="50" spans="1:19" ht="15.75">
      <c r="A50" s="81"/>
      <c r="B50" s="92"/>
      <c r="C50" s="159"/>
      <c r="D50" s="159"/>
      <c r="E50" s="159"/>
      <c r="F50" s="159"/>
      <c r="G50" s="159"/>
      <c r="H50" s="159"/>
      <c r="I50" s="159"/>
      <c r="J50" s="159"/>
      <c r="K50" s="159"/>
      <c r="L50" s="159"/>
      <c r="M50" s="159"/>
      <c r="N50" s="159"/>
      <c r="O50" s="159"/>
      <c r="P50" s="159"/>
      <c r="Q50" s="159"/>
      <c r="R50" s="159"/>
      <c r="S50" s="159"/>
    </row>
    <row r="51" spans="1:19" ht="42.75" customHeight="1">
      <c r="A51" s="776" t="s">
        <v>622</v>
      </c>
      <c r="B51" s="776"/>
      <c r="C51" s="776"/>
      <c r="D51" s="776"/>
      <c r="E51" s="776"/>
      <c r="F51" s="776"/>
      <c r="G51" s="776"/>
      <c r="H51" s="776"/>
      <c r="I51" s="776"/>
      <c r="J51" s="776"/>
      <c r="K51" s="776"/>
      <c r="L51" s="776"/>
      <c r="M51" s="776"/>
      <c r="N51" s="776"/>
      <c r="O51" s="776"/>
      <c r="P51" s="776"/>
      <c r="Q51" s="776"/>
      <c r="R51" s="776"/>
      <c r="S51" s="776"/>
    </row>
    <row r="52" spans="1:19">
      <c r="A52" s="42"/>
    </row>
    <row r="53" spans="1:19">
      <c r="A53" s="42"/>
    </row>
    <row r="54" spans="1:19">
      <c r="A54" s="42"/>
    </row>
    <row r="55" spans="1:19">
      <c r="A55" s="42"/>
    </row>
    <row r="56" spans="1:19">
      <c r="A56" s="42"/>
    </row>
    <row r="57" spans="1:19">
      <c r="A57" s="42"/>
    </row>
    <row r="58" spans="1:19">
      <c r="A58" s="42"/>
    </row>
    <row r="59" spans="1:19">
      <c r="A59" s="42"/>
    </row>
    <row r="60" spans="1:19">
      <c r="A60" s="42"/>
    </row>
    <row r="61" spans="1:19">
      <c r="A61" s="42"/>
    </row>
    <row r="62" spans="1:19">
      <c r="A62" s="42"/>
    </row>
    <row r="63" spans="1:19">
      <c r="A63" s="42"/>
    </row>
    <row r="64" spans="1:19">
      <c r="A64" s="42"/>
    </row>
    <row r="65" spans="1:1">
      <c r="A65" s="42"/>
    </row>
    <row r="66" spans="1:1">
      <c r="A66" s="42"/>
    </row>
    <row r="67" spans="1:1">
      <c r="A67" s="42"/>
    </row>
    <row r="68" spans="1:1">
      <c r="A68" s="42"/>
    </row>
    <row r="69" spans="1:1">
      <c r="A69" s="42"/>
    </row>
    <row r="70" spans="1:1">
      <c r="A70" s="42"/>
    </row>
    <row r="71" spans="1:1">
      <c r="A71" s="42"/>
    </row>
    <row r="72" spans="1:1">
      <c r="A72" s="42"/>
    </row>
    <row r="73" spans="1:1">
      <c r="A73" s="42"/>
    </row>
    <row r="74" spans="1:1">
      <c r="A74" s="42"/>
    </row>
    <row r="75" spans="1:1">
      <c r="A75" s="42"/>
    </row>
  </sheetData>
  <customSheetViews>
    <customSheetView guid="{9F606621-8853-4836-9A7E-DBA5CF152671}" topLeftCell="A4">
      <selection activeCell="E11" sqref="E11"/>
      <pageMargins left="0.7" right="0.7" top="0.75" bottom="0.75" header="0.3" footer="0.3"/>
      <pageSetup orientation="portrait" r:id="rId1"/>
    </customSheetView>
    <customSheetView guid="{DB9039ED-C6EA-422D-9A5D-D152D95EDC67}">
      <selection activeCell="E11" sqref="E11"/>
      <pageMargins left="0.7" right="0.7" top="0.75" bottom="0.75" header="0.3" footer="0.3"/>
      <pageSetup orientation="portrait" r:id="rId2"/>
    </customSheetView>
  </customSheetViews>
  <mergeCells count="17">
    <mergeCell ref="A51:S51"/>
    <mergeCell ref="J6:L6"/>
    <mergeCell ref="M6:M7"/>
    <mergeCell ref="N6:P6"/>
    <mergeCell ref="Q6:S6"/>
    <mergeCell ref="A2:S2"/>
    <mergeCell ref="A3:S3"/>
    <mergeCell ref="A5:A7"/>
    <mergeCell ref="B5:B7"/>
    <mergeCell ref="C5:C7"/>
    <mergeCell ref="D5:E5"/>
    <mergeCell ref="F5:L5"/>
    <mergeCell ref="M5:S5"/>
    <mergeCell ref="D6:D7"/>
    <mergeCell ref="E6:E7"/>
    <mergeCell ref="F6:F7"/>
    <mergeCell ref="G6:I6"/>
  </mergeCell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tabColor theme="7" tint="0.39997558519241921"/>
  </sheetPr>
  <dimension ref="A1:K23"/>
  <sheetViews>
    <sheetView workbookViewId="0">
      <selection sqref="A1:K1"/>
    </sheetView>
  </sheetViews>
  <sheetFormatPr defaultColWidth="9.140625" defaultRowHeight="15"/>
  <cols>
    <col min="1" max="1" width="6.7109375" style="1" customWidth="1"/>
    <col min="2" max="2" width="31.28515625" style="1" customWidth="1"/>
    <col min="3" max="4" width="9.140625" style="1"/>
    <col min="5" max="5" width="14" style="1" customWidth="1"/>
    <col min="6" max="8" width="9.140625" style="1"/>
    <col min="9" max="9" width="12.28515625" style="1" customWidth="1"/>
    <col min="10" max="16384" width="9.140625" style="1"/>
  </cols>
  <sheetData>
    <row r="1" spans="1:11" ht="18.75" customHeight="1">
      <c r="A1" s="706" t="s">
        <v>159</v>
      </c>
      <c r="B1" s="706"/>
      <c r="C1" s="706"/>
      <c r="D1" s="706"/>
      <c r="E1" s="706"/>
      <c r="F1" s="706"/>
      <c r="G1" s="706"/>
      <c r="H1" s="706"/>
      <c r="I1" s="706"/>
      <c r="J1" s="706"/>
      <c r="K1" s="706"/>
    </row>
    <row r="2" spans="1:11" ht="41.25" customHeight="1">
      <c r="A2" s="701" t="s">
        <v>160</v>
      </c>
      <c r="B2" s="701"/>
      <c r="C2" s="701"/>
      <c r="D2" s="701"/>
      <c r="E2" s="701"/>
      <c r="F2" s="701"/>
      <c r="G2" s="701"/>
      <c r="H2" s="701"/>
      <c r="I2" s="701"/>
      <c r="J2" s="701"/>
      <c r="K2" s="701"/>
    </row>
    <row r="3" spans="1:11">
      <c r="A3" s="707" t="s">
        <v>126</v>
      </c>
      <c r="B3" s="707"/>
      <c r="C3" s="707"/>
      <c r="D3" s="707"/>
      <c r="E3" s="707"/>
      <c r="F3" s="707"/>
      <c r="G3" s="707"/>
      <c r="H3" s="707"/>
      <c r="I3" s="707"/>
      <c r="J3" s="707"/>
      <c r="K3" s="707"/>
    </row>
    <row r="4" spans="1:11">
      <c r="I4" s="708" t="s">
        <v>56</v>
      </c>
      <c r="J4" s="708"/>
      <c r="K4" s="708"/>
    </row>
    <row r="5" spans="1:11">
      <c r="A5" s="705" t="s">
        <v>3</v>
      </c>
      <c r="B5" s="705" t="s">
        <v>161</v>
      </c>
      <c r="C5" s="705" t="s">
        <v>130</v>
      </c>
      <c r="D5" s="705" t="s">
        <v>162</v>
      </c>
      <c r="E5" s="705"/>
      <c r="F5" s="705"/>
      <c r="G5" s="705"/>
      <c r="H5" s="705"/>
      <c r="I5" s="705"/>
      <c r="J5" s="705"/>
      <c r="K5" s="705"/>
    </row>
    <row r="6" spans="1:11">
      <c r="A6" s="705"/>
      <c r="B6" s="705"/>
      <c r="C6" s="705"/>
      <c r="D6" s="705" t="s">
        <v>135</v>
      </c>
      <c r="E6" s="705"/>
      <c r="F6" s="705"/>
      <c r="G6" s="705"/>
      <c r="H6" s="705" t="s">
        <v>136</v>
      </c>
      <c r="I6" s="705"/>
      <c r="J6" s="705"/>
      <c r="K6" s="705"/>
    </row>
    <row r="7" spans="1:11">
      <c r="A7" s="705"/>
      <c r="B7" s="705"/>
      <c r="C7" s="705"/>
      <c r="D7" s="705" t="s">
        <v>130</v>
      </c>
      <c r="E7" s="705" t="s">
        <v>162</v>
      </c>
      <c r="F7" s="705"/>
      <c r="G7" s="705"/>
      <c r="H7" s="705" t="s">
        <v>130</v>
      </c>
      <c r="I7" s="705" t="s">
        <v>162</v>
      </c>
      <c r="J7" s="705"/>
      <c r="K7" s="705"/>
    </row>
    <row r="8" spans="1:11" ht="99.75">
      <c r="A8" s="705"/>
      <c r="B8" s="705"/>
      <c r="C8" s="705"/>
      <c r="D8" s="705"/>
      <c r="E8" s="2" t="s">
        <v>163</v>
      </c>
      <c r="F8" s="2" t="s">
        <v>164</v>
      </c>
      <c r="G8" s="2" t="s">
        <v>165</v>
      </c>
      <c r="H8" s="705"/>
      <c r="I8" s="2" t="s">
        <v>163</v>
      </c>
      <c r="J8" s="2" t="s">
        <v>164</v>
      </c>
      <c r="K8" s="2" t="s">
        <v>165</v>
      </c>
    </row>
    <row r="9" spans="1:11">
      <c r="A9" s="2" t="s">
        <v>15</v>
      </c>
      <c r="B9" s="2" t="s">
        <v>16</v>
      </c>
      <c r="C9" s="2">
        <v>1</v>
      </c>
      <c r="D9" s="2">
        <v>2</v>
      </c>
      <c r="E9" s="2">
        <v>3</v>
      </c>
      <c r="F9" s="2">
        <v>4</v>
      </c>
      <c r="G9" s="2">
        <v>5</v>
      </c>
      <c r="H9" s="2">
        <v>6</v>
      </c>
      <c r="I9" s="2">
        <v>7</v>
      </c>
      <c r="J9" s="2">
        <v>8</v>
      </c>
      <c r="K9" s="2">
        <v>9</v>
      </c>
    </row>
    <row r="10" spans="1:11">
      <c r="A10" s="3"/>
      <c r="B10" s="2" t="s">
        <v>130</v>
      </c>
      <c r="C10" s="4"/>
      <c r="D10" s="4"/>
      <c r="E10" s="4"/>
      <c r="F10" s="4"/>
      <c r="G10" s="4"/>
      <c r="H10" s="4"/>
      <c r="I10" s="4"/>
      <c r="J10" s="4"/>
      <c r="K10" s="4"/>
    </row>
    <row r="11" spans="1:11">
      <c r="A11" s="3">
        <v>1</v>
      </c>
      <c r="B11" s="4" t="s">
        <v>166</v>
      </c>
      <c r="C11" s="4"/>
      <c r="D11" s="4"/>
      <c r="E11" s="4"/>
      <c r="F11" s="4"/>
      <c r="G11" s="4"/>
      <c r="H11" s="4"/>
      <c r="I11" s="4"/>
      <c r="J11" s="4"/>
      <c r="K11" s="4"/>
    </row>
    <row r="12" spans="1:11">
      <c r="A12" s="3">
        <v>2</v>
      </c>
      <c r="B12" s="4" t="s">
        <v>167</v>
      </c>
      <c r="C12" s="4"/>
      <c r="D12" s="4"/>
      <c r="E12" s="4"/>
      <c r="F12" s="4"/>
      <c r="G12" s="4"/>
      <c r="H12" s="4"/>
      <c r="I12" s="4"/>
      <c r="J12" s="4"/>
      <c r="K12" s="4"/>
    </row>
    <row r="13" spans="1:11">
      <c r="A13" s="3">
        <v>3</v>
      </c>
      <c r="B13" s="4" t="s">
        <v>168</v>
      </c>
      <c r="C13" s="4"/>
      <c r="D13" s="4"/>
      <c r="E13" s="4"/>
      <c r="F13" s="4"/>
      <c r="G13" s="4"/>
      <c r="H13" s="4"/>
      <c r="I13" s="4"/>
      <c r="J13" s="4"/>
      <c r="K13" s="4"/>
    </row>
    <row r="14" spans="1:11">
      <c r="A14" s="3">
        <v>4</v>
      </c>
      <c r="B14" s="4" t="s">
        <v>169</v>
      </c>
      <c r="C14" s="4"/>
      <c r="D14" s="4"/>
      <c r="E14" s="4"/>
      <c r="F14" s="4"/>
      <c r="G14" s="4"/>
      <c r="H14" s="4"/>
      <c r="I14" s="4"/>
      <c r="J14" s="4"/>
      <c r="K14" s="4"/>
    </row>
    <row r="15" spans="1:11">
      <c r="A15" s="3">
        <v>5</v>
      </c>
      <c r="B15" s="4" t="s">
        <v>170</v>
      </c>
      <c r="C15" s="4"/>
      <c r="D15" s="4"/>
      <c r="E15" s="4"/>
      <c r="F15" s="4"/>
      <c r="G15" s="4"/>
      <c r="H15" s="4"/>
      <c r="I15" s="4"/>
      <c r="J15" s="4"/>
      <c r="K15" s="4"/>
    </row>
    <row r="16" spans="1:11">
      <c r="A16" s="3">
        <v>6</v>
      </c>
      <c r="B16" s="4" t="s">
        <v>171</v>
      </c>
      <c r="C16" s="4"/>
      <c r="D16" s="4"/>
      <c r="E16" s="4"/>
      <c r="F16" s="4"/>
      <c r="G16" s="4"/>
      <c r="H16" s="4"/>
      <c r="I16" s="4"/>
      <c r="J16" s="4"/>
      <c r="K16" s="4"/>
    </row>
    <row r="17" spans="1:11">
      <c r="A17" s="3">
        <v>7</v>
      </c>
      <c r="B17" s="4" t="s">
        <v>172</v>
      </c>
      <c r="C17" s="4"/>
      <c r="D17" s="4"/>
      <c r="E17" s="4"/>
      <c r="F17" s="4"/>
      <c r="G17" s="4"/>
      <c r="H17" s="4"/>
      <c r="I17" s="4"/>
      <c r="J17" s="4"/>
      <c r="K17" s="4"/>
    </row>
    <row r="18" spans="1:11">
      <c r="A18" s="3">
        <v>8</v>
      </c>
      <c r="B18" s="4" t="s">
        <v>173</v>
      </c>
      <c r="C18" s="4"/>
      <c r="D18" s="4"/>
      <c r="E18" s="4"/>
      <c r="F18" s="4"/>
      <c r="G18" s="4"/>
      <c r="H18" s="4"/>
      <c r="I18" s="4"/>
      <c r="J18" s="4"/>
      <c r="K18" s="4"/>
    </row>
    <row r="19" spans="1:11">
      <c r="A19" s="3">
        <v>9</v>
      </c>
      <c r="B19" s="4" t="s">
        <v>174</v>
      </c>
      <c r="C19" s="4"/>
      <c r="D19" s="4"/>
      <c r="E19" s="4"/>
      <c r="F19" s="4"/>
      <c r="G19" s="4"/>
      <c r="H19" s="4"/>
      <c r="I19" s="4"/>
      <c r="J19" s="4"/>
      <c r="K19" s="4"/>
    </row>
    <row r="20" spans="1:11">
      <c r="A20" s="3">
        <v>10</v>
      </c>
      <c r="B20" s="4" t="s">
        <v>175</v>
      </c>
      <c r="C20" s="4"/>
      <c r="D20" s="4"/>
      <c r="E20" s="4"/>
      <c r="F20" s="4"/>
      <c r="G20" s="4"/>
      <c r="H20" s="4"/>
      <c r="I20" s="4"/>
      <c r="J20" s="4"/>
      <c r="K20" s="4"/>
    </row>
    <row r="21" spans="1:11">
      <c r="A21" s="3">
        <v>11</v>
      </c>
      <c r="B21" s="4" t="s">
        <v>176</v>
      </c>
      <c r="C21" s="4"/>
      <c r="D21" s="4"/>
      <c r="E21" s="4"/>
      <c r="F21" s="4"/>
      <c r="G21" s="4"/>
      <c r="H21" s="4"/>
      <c r="I21" s="4"/>
      <c r="J21" s="4"/>
      <c r="K21" s="4"/>
    </row>
    <row r="22" spans="1:11">
      <c r="A22" s="3">
        <v>12</v>
      </c>
      <c r="B22" s="4" t="s">
        <v>177</v>
      </c>
      <c r="C22" s="4"/>
      <c r="D22" s="4"/>
      <c r="E22" s="4"/>
      <c r="F22" s="4"/>
      <c r="G22" s="4"/>
      <c r="H22" s="4"/>
      <c r="I22" s="4"/>
      <c r="J22" s="4"/>
      <c r="K22" s="4"/>
    </row>
    <row r="23" spans="1:11">
      <c r="A23" s="17"/>
    </row>
  </sheetData>
  <customSheetViews>
    <customSheetView guid="{9F606621-8853-4836-9A7E-DBA5CF152671}" state="hidden">
      <selection sqref="A1:K1"/>
      <pageMargins left="0.7" right="0.7" top="0.75" bottom="0.75" header="0.3" footer="0.3"/>
    </customSheetView>
    <customSheetView guid="{DB9039ED-C6EA-422D-9A5D-D152D95EDC67}" state="hidden">
      <selection sqref="A1:K1"/>
      <pageMargins left="0.7" right="0.7" top="0.75" bottom="0.75" header="0.3" footer="0.3"/>
    </customSheetView>
  </customSheetViews>
  <mergeCells count="14">
    <mergeCell ref="A2:K2"/>
    <mergeCell ref="A1:K1"/>
    <mergeCell ref="A3:K3"/>
    <mergeCell ref="I4:K4"/>
    <mergeCell ref="A5:A8"/>
    <mergeCell ref="B5:B8"/>
    <mergeCell ref="C5:C8"/>
    <mergeCell ref="D5:K5"/>
    <mergeCell ref="D6:G6"/>
    <mergeCell ref="H6:K6"/>
    <mergeCell ref="D7:D8"/>
    <mergeCell ref="E7:G7"/>
    <mergeCell ref="H7:H8"/>
    <mergeCell ref="I7:K7"/>
  </mergeCells>
  <pageMargins left="0.7" right="0.7" top="0.75" bottom="0.75" header="0.3" footer="0.3"/>
</worksheet>
</file>

<file path=xl/worksheets/sheet40.xml><?xml version="1.0" encoding="utf-8"?>
<worksheet xmlns="http://schemas.openxmlformats.org/spreadsheetml/2006/main" xmlns:r="http://schemas.openxmlformats.org/officeDocument/2006/relationships">
  <sheetPr>
    <tabColor rgb="FFFF0000"/>
  </sheetPr>
  <dimension ref="A1:J25"/>
  <sheetViews>
    <sheetView showZeros="0" topLeftCell="A10" workbookViewId="0">
      <selection activeCell="C10" sqref="C10"/>
    </sheetView>
  </sheetViews>
  <sheetFormatPr defaultRowHeight="15"/>
  <cols>
    <col min="1" max="1" width="6.5703125" customWidth="1"/>
    <col min="2" max="2" width="25.7109375" customWidth="1"/>
    <col min="3" max="3" width="15" customWidth="1"/>
    <col min="4" max="4" width="11.85546875" customWidth="1"/>
    <col min="5" max="5" width="13.28515625" customWidth="1"/>
    <col min="6" max="6" width="14" customWidth="1"/>
    <col min="7" max="7" width="13" customWidth="1"/>
    <col min="8" max="8" width="10" customWidth="1"/>
    <col min="9" max="9" width="9.85546875" customWidth="1"/>
    <col min="10" max="10" width="11.7109375" customWidth="1"/>
    <col min="11" max="41" width="9.140625" customWidth="1"/>
  </cols>
  <sheetData>
    <row r="1" spans="1:10" ht="15.75">
      <c r="A1" s="816" t="s">
        <v>1503</v>
      </c>
      <c r="B1" s="816"/>
      <c r="J1" s="26" t="s">
        <v>1525</v>
      </c>
    </row>
    <row r="2" spans="1:10" ht="15.75">
      <c r="A2" s="816" t="s">
        <v>1504</v>
      </c>
      <c r="B2" s="816"/>
      <c r="J2" s="26"/>
    </row>
    <row r="3" spans="1:10" ht="15.75">
      <c r="A3" s="569"/>
      <c r="B3" s="569"/>
      <c r="J3" s="26"/>
    </row>
    <row r="4" spans="1:10" ht="39.75" customHeight="1">
      <c r="A4" s="775" t="s">
        <v>1524</v>
      </c>
      <c r="B4" s="775"/>
      <c r="C4" s="775"/>
      <c r="D4" s="775"/>
      <c r="E4" s="775"/>
      <c r="F4" s="775"/>
      <c r="G4" s="775"/>
      <c r="H4" s="775"/>
      <c r="I4" s="775"/>
      <c r="J4" s="775"/>
    </row>
    <row r="5" spans="1:10" ht="21" customHeight="1">
      <c r="J5" s="27" t="s">
        <v>56</v>
      </c>
    </row>
    <row r="6" spans="1:10" ht="15.75">
      <c r="A6" s="773" t="s">
        <v>3</v>
      </c>
      <c r="B6" s="773" t="s">
        <v>161</v>
      </c>
      <c r="C6" s="773" t="s">
        <v>479</v>
      </c>
      <c r="D6" s="773" t="s">
        <v>334</v>
      </c>
      <c r="E6" s="773" t="s">
        <v>623</v>
      </c>
      <c r="F6" s="773"/>
      <c r="G6" s="773" t="s">
        <v>624</v>
      </c>
      <c r="H6" s="773" t="s">
        <v>625</v>
      </c>
      <c r="I6" s="773" t="s">
        <v>237</v>
      </c>
      <c r="J6" s="773" t="s">
        <v>339</v>
      </c>
    </row>
    <row r="7" spans="1:10" ht="30.75" customHeight="1">
      <c r="A7" s="773"/>
      <c r="B7" s="773"/>
      <c r="C7" s="773"/>
      <c r="D7" s="773"/>
      <c r="E7" s="773" t="s">
        <v>335</v>
      </c>
      <c r="F7" s="817" t="s">
        <v>1526</v>
      </c>
      <c r="G7" s="773"/>
      <c r="H7" s="773"/>
      <c r="I7" s="773"/>
      <c r="J7" s="773"/>
    </row>
    <row r="8" spans="1:10" ht="120" customHeight="1">
      <c r="A8" s="773"/>
      <c r="B8" s="773"/>
      <c r="C8" s="773"/>
      <c r="D8" s="773"/>
      <c r="E8" s="773"/>
      <c r="F8" s="818"/>
      <c r="G8" s="773"/>
      <c r="H8" s="773"/>
      <c r="I8" s="773"/>
      <c r="J8" s="773"/>
    </row>
    <row r="9" spans="1:10" ht="31.5">
      <c r="A9" s="30" t="s">
        <v>15</v>
      </c>
      <c r="B9" s="30" t="s">
        <v>16</v>
      </c>
      <c r="C9" s="30">
        <v>1</v>
      </c>
      <c r="D9" s="30" t="s">
        <v>1527</v>
      </c>
      <c r="E9" s="30">
        <v>3</v>
      </c>
      <c r="F9" s="30">
        <v>4</v>
      </c>
      <c r="G9" s="30">
        <v>5</v>
      </c>
      <c r="H9" s="30">
        <v>6</v>
      </c>
      <c r="I9" s="30">
        <v>7</v>
      </c>
      <c r="J9" s="30" t="s">
        <v>1528</v>
      </c>
    </row>
    <row r="10" spans="1:10" ht="15.75">
      <c r="A10" s="73"/>
      <c r="B10" s="72" t="s">
        <v>133</v>
      </c>
      <c r="C10" s="167">
        <v>2740000</v>
      </c>
      <c r="D10" s="167">
        <v>2560680</v>
      </c>
      <c r="E10" s="167">
        <v>1098980</v>
      </c>
      <c r="F10" s="167">
        <v>1461700</v>
      </c>
      <c r="G10" s="167">
        <v>2918024</v>
      </c>
      <c r="H10" s="167">
        <v>41257</v>
      </c>
      <c r="I10" s="167">
        <v>0</v>
      </c>
      <c r="J10" s="167">
        <v>5519961</v>
      </c>
    </row>
    <row r="11" spans="1:10" ht="15.75">
      <c r="A11" s="83">
        <v>1</v>
      </c>
      <c r="B11" s="60" t="s">
        <v>831</v>
      </c>
      <c r="C11" s="158">
        <v>526500</v>
      </c>
      <c r="D11" s="158">
        <v>462200</v>
      </c>
      <c r="E11" s="158">
        <v>167150</v>
      </c>
      <c r="F11" s="158">
        <v>295050</v>
      </c>
      <c r="G11" s="158">
        <v>14998</v>
      </c>
      <c r="H11" s="158"/>
      <c r="I11" s="158"/>
      <c r="J11" s="158">
        <v>477198</v>
      </c>
    </row>
    <row r="12" spans="1:10" ht="15.75">
      <c r="A12" s="83">
        <v>2</v>
      </c>
      <c r="B12" s="60" t="s">
        <v>917</v>
      </c>
      <c r="C12" s="158">
        <v>100500</v>
      </c>
      <c r="D12" s="158">
        <v>96400</v>
      </c>
      <c r="E12" s="158">
        <v>56200</v>
      </c>
      <c r="F12" s="158">
        <v>40200</v>
      </c>
      <c r="G12" s="158">
        <v>175185</v>
      </c>
      <c r="H12" s="158">
        <v>0</v>
      </c>
      <c r="I12" s="158"/>
      <c r="J12" s="158">
        <v>271585</v>
      </c>
    </row>
    <row r="13" spans="1:10" ht="15.75">
      <c r="A13" s="83">
        <v>3</v>
      </c>
      <c r="B13" s="60" t="s">
        <v>918</v>
      </c>
      <c r="C13" s="158">
        <v>491100</v>
      </c>
      <c r="D13" s="158">
        <v>462150</v>
      </c>
      <c r="E13" s="158">
        <v>157450</v>
      </c>
      <c r="F13" s="158">
        <v>304700</v>
      </c>
      <c r="G13" s="158">
        <v>51172</v>
      </c>
      <c r="H13" s="158"/>
      <c r="I13" s="158"/>
      <c r="J13" s="158">
        <v>513322</v>
      </c>
    </row>
    <row r="14" spans="1:10" ht="15.75">
      <c r="A14" s="83">
        <v>4</v>
      </c>
      <c r="B14" s="60" t="s">
        <v>919</v>
      </c>
      <c r="C14" s="158">
        <v>96700</v>
      </c>
      <c r="D14" s="158">
        <v>90700</v>
      </c>
      <c r="E14" s="158">
        <v>41750</v>
      </c>
      <c r="F14" s="158">
        <v>48950</v>
      </c>
      <c r="G14" s="158">
        <v>214749</v>
      </c>
      <c r="H14" s="158">
        <v>7117</v>
      </c>
      <c r="I14" s="158"/>
      <c r="J14" s="158">
        <v>312566</v>
      </c>
    </row>
    <row r="15" spans="1:10" ht="15.75">
      <c r="A15" s="83">
        <v>5</v>
      </c>
      <c r="B15" s="60" t="s">
        <v>920</v>
      </c>
      <c r="C15" s="158">
        <v>43800</v>
      </c>
      <c r="D15" s="158">
        <v>40750</v>
      </c>
      <c r="E15" s="158">
        <v>19800</v>
      </c>
      <c r="F15" s="158">
        <v>20950</v>
      </c>
      <c r="G15" s="158">
        <v>198146</v>
      </c>
      <c r="H15" s="158">
        <v>6481</v>
      </c>
      <c r="I15" s="158"/>
      <c r="J15" s="158">
        <v>245377</v>
      </c>
    </row>
    <row r="16" spans="1:10" ht="15.75">
      <c r="A16" s="83">
        <v>6</v>
      </c>
      <c r="B16" s="60" t="s">
        <v>921</v>
      </c>
      <c r="C16" s="158">
        <v>81100</v>
      </c>
      <c r="D16" s="158">
        <v>77400</v>
      </c>
      <c r="E16" s="158">
        <v>40900</v>
      </c>
      <c r="F16" s="158">
        <v>36500</v>
      </c>
      <c r="G16" s="158">
        <v>250263</v>
      </c>
      <c r="H16" s="158">
        <v>10519</v>
      </c>
      <c r="I16" s="158"/>
      <c r="J16" s="158">
        <v>338182</v>
      </c>
    </row>
    <row r="17" spans="1:10" ht="15.75">
      <c r="A17" s="83">
        <v>7</v>
      </c>
      <c r="B17" s="60" t="s">
        <v>922</v>
      </c>
      <c r="C17" s="158">
        <v>565500</v>
      </c>
      <c r="D17" s="158">
        <v>540600</v>
      </c>
      <c r="E17" s="158">
        <v>249000</v>
      </c>
      <c r="F17" s="158">
        <v>291600</v>
      </c>
      <c r="G17" s="158">
        <v>222648</v>
      </c>
      <c r="H17" s="158">
        <v>0</v>
      </c>
      <c r="I17" s="158"/>
      <c r="J17" s="158">
        <v>763248</v>
      </c>
    </row>
    <row r="18" spans="1:10" ht="15.75">
      <c r="A18" s="83">
        <v>8</v>
      </c>
      <c r="B18" s="60" t="s">
        <v>923</v>
      </c>
      <c r="C18" s="158">
        <v>61100</v>
      </c>
      <c r="D18" s="158">
        <v>58330</v>
      </c>
      <c r="E18" s="158">
        <v>30830</v>
      </c>
      <c r="F18" s="158">
        <v>27500</v>
      </c>
      <c r="G18" s="158">
        <v>237770</v>
      </c>
      <c r="H18" s="158">
        <v>1094</v>
      </c>
      <c r="I18" s="158"/>
      <c r="J18" s="158">
        <v>297194</v>
      </c>
    </row>
    <row r="19" spans="1:10" ht="15.75">
      <c r="A19" s="83">
        <v>9</v>
      </c>
      <c r="B19" s="60" t="s">
        <v>924</v>
      </c>
      <c r="C19" s="158">
        <v>221500</v>
      </c>
      <c r="D19" s="158">
        <v>209700</v>
      </c>
      <c r="E19" s="158">
        <v>95800</v>
      </c>
      <c r="F19" s="158">
        <v>113900</v>
      </c>
      <c r="G19" s="158">
        <v>285544</v>
      </c>
      <c r="H19" s="158">
        <v>237</v>
      </c>
      <c r="I19" s="158"/>
      <c r="J19" s="158">
        <v>495481</v>
      </c>
    </row>
    <row r="20" spans="1:10" ht="15.75">
      <c r="A20" s="83">
        <v>10</v>
      </c>
      <c r="B20" s="60" t="s">
        <v>925</v>
      </c>
      <c r="C20" s="158">
        <v>297700</v>
      </c>
      <c r="D20" s="158">
        <v>287050</v>
      </c>
      <c r="E20" s="158">
        <v>113950</v>
      </c>
      <c r="F20" s="158">
        <v>173100</v>
      </c>
      <c r="G20" s="158">
        <v>222825</v>
      </c>
      <c r="H20" s="158">
        <v>0</v>
      </c>
      <c r="I20" s="158"/>
      <c r="J20" s="158">
        <v>509875</v>
      </c>
    </row>
    <row r="21" spans="1:10" ht="15.75">
      <c r="A21" s="83">
        <v>11</v>
      </c>
      <c r="B21" s="60" t="s">
        <v>926</v>
      </c>
      <c r="C21" s="158">
        <v>61400</v>
      </c>
      <c r="D21" s="158">
        <v>56800</v>
      </c>
      <c r="E21" s="158">
        <v>31000</v>
      </c>
      <c r="F21" s="158">
        <v>25800</v>
      </c>
      <c r="G21" s="158">
        <v>213509</v>
      </c>
      <c r="H21" s="158">
        <v>2983</v>
      </c>
      <c r="I21" s="158"/>
      <c r="J21" s="158">
        <v>273292</v>
      </c>
    </row>
    <row r="22" spans="1:10" ht="15.75">
      <c r="A22" s="83">
        <v>12</v>
      </c>
      <c r="B22" s="60" t="s">
        <v>927</v>
      </c>
      <c r="C22" s="158">
        <v>64600</v>
      </c>
      <c r="D22" s="158">
        <v>56800</v>
      </c>
      <c r="E22" s="158">
        <v>27800</v>
      </c>
      <c r="F22" s="158">
        <v>29000</v>
      </c>
      <c r="G22" s="158">
        <v>241521</v>
      </c>
      <c r="H22" s="158">
        <v>10352</v>
      </c>
      <c r="I22" s="158"/>
      <c r="J22" s="158">
        <v>308673</v>
      </c>
    </row>
    <row r="23" spans="1:10" ht="15.75">
      <c r="A23" s="83">
        <v>13</v>
      </c>
      <c r="B23" s="60" t="s">
        <v>928</v>
      </c>
      <c r="C23" s="158">
        <v>23300</v>
      </c>
      <c r="D23" s="158">
        <v>22400</v>
      </c>
      <c r="E23" s="158">
        <v>12950</v>
      </c>
      <c r="F23" s="158">
        <v>9450</v>
      </c>
      <c r="G23" s="158">
        <v>141377</v>
      </c>
      <c r="H23" s="158">
        <v>2474</v>
      </c>
      <c r="I23" s="158"/>
      <c r="J23" s="158">
        <v>166251</v>
      </c>
    </row>
    <row r="24" spans="1:10" ht="15.75">
      <c r="A24" s="83">
        <v>14</v>
      </c>
      <c r="B24" s="60" t="s">
        <v>929</v>
      </c>
      <c r="C24" s="158">
        <v>52700</v>
      </c>
      <c r="D24" s="158">
        <v>50150</v>
      </c>
      <c r="E24" s="158">
        <v>26650</v>
      </c>
      <c r="F24" s="158">
        <v>23500</v>
      </c>
      <c r="G24" s="158">
        <v>230728</v>
      </c>
      <c r="H24" s="158">
        <v>0</v>
      </c>
      <c r="I24" s="158"/>
      <c r="J24" s="158">
        <v>280878</v>
      </c>
    </row>
    <row r="25" spans="1:10" ht="15.75">
      <c r="A25" s="65">
        <v>15</v>
      </c>
      <c r="B25" s="70" t="s">
        <v>930</v>
      </c>
      <c r="C25" s="159">
        <v>52500</v>
      </c>
      <c r="D25" s="159">
        <v>49250</v>
      </c>
      <c r="E25" s="159">
        <v>27750</v>
      </c>
      <c r="F25" s="159">
        <v>21500</v>
      </c>
      <c r="G25" s="159">
        <v>217589</v>
      </c>
      <c r="H25" s="159">
        <v>0</v>
      </c>
      <c r="I25" s="159"/>
      <c r="J25" s="159">
        <v>266839</v>
      </c>
    </row>
  </sheetData>
  <customSheetViews>
    <customSheetView guid="{9F606621-8853-4836-9A7E-DBA5CF152671}" showPageBreaks="1" topLeftCell="A2">
      <pane xSplit="2" ySplit="7" topLeftCell="C9" activePane="bottomRight" state="frozen"/>
      <selection pane="bottomRight" activeCell="E10" sqref="E10"/>
      <pageMargins left="0.7" right="0.7" top="0.75" bottom="0.75" header="0.3" footer="0.3"/>
      <pageSetup orientation="portrait" r:id="rId1"/>
    </customSheetView>
    <customSheetView guid="{DB9039ED-C6EA-422D-9A5D-D152D95EDC67}" showPageBreaks="1" printArea="1" hiddenRows="1" topLeftCell="D8">
      <selection activeCell="J29" sqref="J29"/>
      <pageMargins left="0.9055118110236221" right="0.70866141732283472" top="0.74803149606299213" bottom="0.74803149606299213" header="0.31496062992125984" footer="0.31496062992125984"/>
      <printOptions horizontalCentered="1"/>
      <pageSetup paperSize="9" scale="95" orientation="landscape" r:id="rId2"/>
    </customSheetView>
  </customSheetViews>
  <mergeCells count="14">
    <mergeCell ref="A1:B1"/>
    <mergeCell ref="A2:B2"/>
    <mergeCell ref="F7:F8"/>
    <mergeCell ref="A4:J4"/>
    <mergeCell ref="A6:A8"/>
    <mergeCell ref="B6:B8"/>
    <mergeCell ref="C6:C8"/>
    <mergeCell ref="D6:D8"/>
    <mergeCell ref="E6:F6"/>
    <mergeCell ref="G6:G8"/>
    <mergeCell ref="H6:H8"/>
    <mergeCell ref="I6:I8"/>
    <mergeCell ref="J6:J8"/>
    <mergeCell ref="E7:E8"/>
  </mergeCells>
  <printOptions horizontalCentered="1"/>
  <pageMargins left="0.46" right="0.15748031496063" top="0.35433070866141703" bottom="0.15748031496063" header="0.31496062992126" footer="0.15748031496063"/>
  <pageSetup orientation="landscape" r:id="rId3"/>
</worksheet>
</file>

<file path=xl/worksheets/sheet41.xml><?xml version="1.0" encoding="utf-8"?>
<worksheet xmlns="http://schemas.openxmlformats.org/spreadsheetml/2006/main" xmlns:r="http://schemas.openxmlformats.org/officeDocument/2006/relationships">
  <sheetPr>
    <tabColor rgb="FFFF0000"/>
  </sheetPr>
  <dimension ref="A1:F21"/>
  <sheetViews>
    <sheetView workbookViewId="0"/>
  </sheetViews>
  <sheetFormatPr defaultRowHeight="15"/>
  <cols>
    <col min="1" max="1" width="6.5703125" customWidth="1"/>
    <col min="2" max="2" width="36.5703125" customWidth="1"/>
    <col min="3" max="6" width="10.42578125" customWidth="1"/>
  </cols>
  <sheetData>
    <row r="1" spans="1:6" ht="15.75">
      <c r="F1" s="26" t="s">
        <v>594</v>
      </c>
    </row>
    <row r="2" spans="1:6" ht="39.75" customHeight="1">
      <c r="A2" s="781" t="s">
        <v>856</v>
      </c>
      <c r="B2" s="781"/>
      <c r="C2" s="781"/>
      <c r="D2" s="781"/>
      <c r="E2" s="781"/>
      <c r="F2" s="781"/>
    </row>
    <row r="3" spans="1:6" ht="15.75">
      <c r="A3" s="774" t="s">
        <v>626</v>
      </c>
      <c r="B3" s="774"/>
      <c r="C3" s="774"/>
      <c r="D3" s="774"/>
      <c r="E3" s="774"/>
      <c r="F3" s="774"/>
    </row>
    <row r="4" spans="1:6" ht="15.75">
      <c r="F4" s="27" t="s">
        <v>627</v>
      </c>
    </row>
    <row r="5" spans="1:6" ht="15.75">
      <c r="A5" s="773" t="s">
        <v>3</v>
      </c>
      <c r="B5" s="773" t="s">
        <v>161</v>
      </c>
      <c r="C5" s="773" t="s">
        <v>628</v>
      </c>
      <c r="D5" s="773"/>
      <c r="E5" s="773"/>
      <c r="F5" s="773"/>
    </row>
    <row r="6" spans="1:6" ht="78" customHeight="1">
      <c r="A6" s="773"/>
      <c r="B6" s="773"/>
      <c r="C6" s="30" t="s">
        <v>629</v>
      </c>
      <c r="D6" s="30" t="s">
        <v>630</v>
      </c>
      <c r="E6" s="30" t="s">
        <v>533</v>
      </c>
      <c r="F6" s="30" t="s">
        <v>173</v>
      </c>
    </row>
    <row r="7" spans="1:6" ht="15.75">
      <c r="A7" s="30" t="s">
        <v>15</v>
      </c>
      <c r="B7" s="30" t="s">
        <v>16</v>
      </c>
      <c r="C7" s="30">
        <v>1</v>
      </c>
      <c r="D7" s="30">
        <v>2</v>
      </c>
      <c r="E7" s="30">
        <v>3</v>
      </c>
      <c r="F7" s="30">
        <v>4</v>
      </c>
    </row>
    <row r="8" spans="1:6" ht="15.75">
      <c r="A8" s="29">
        <v>1</v>
      </c>
      <c r="B8" s="32" t="s">
        <v>169</v>
      </c>
      <c r="C8" s="29"/>
      <c r="D8" s="29"/>
      <c r="E8" s="29"/>
      <c r="F8" s="29"/>
    </row>
    <row r="9" spans="1:6" ht="15.75">
      <c r="A9" s="29">
        <v>2</v>
      </c>
      <c r="B9" s="32" t="s">
        <v>170</v>
      </c>
      <c r="C9" s="29"/>
      <c r="D9" s="29"/>
      <c r="E9" s="29"/>
      <c r="F9" s="29"/>
    </row>
    <row r="10" spans="1:6" ht="15.75">
      <c r="A10" s="29">
        <v>3</v>
      </c>
      <c r="B10" s="32" t="s">
        <v>540</v>
      </c>
      <c r="C10" s="29"/>
      <c r="D10" s="29"/>
      <c r="E10" s="29"/>
      <c r="F10" s="29"/>
    </row>
    <row r="11" spans="1:6" ht="15.75">
      <c r="A11" s="29">
        <v>4</v>
      </c>
      <c r="B11" s="32" t="s">
        <v>172</v>
      </c>
      <c r="C11" s="29"/>
      <c r="D11" s="29"/>
      <c r="E11" s="29"/>
      <c r="F11" s="29"/>
    </row>
    <row r="12" spans="1:6" ht="15.75">
      <c r="A12" s="29">
        <v>5</v>
      </c>
      <c r="B12" s="32" t="s">
        <v>525</v>
      </c>
      <c r="C12" s="29"/>
      <c r="D12" s="29"/>
      <c r="E12" s="29"/>
      <c r="F12" s="29"/>
    </row>
    <row r="13" spans="1:6" ht="15.75">
      <c r="A13" s="29">
        <v>6</v>
      </c>
      <c r="B13" s="32" t="s">
        <v>174</v>
      </c>
      <c r="C13" s="29"/>
      <c r="D13" s="29"/>
      <c r="E13" s="29"/>
      <c r="F13" s="29"/>
    </row>
    <row r="14" spans="1:6" ht="15.75">
      <c r="A14" s="29">
        <v>7</v>
      </c>
      <c r="B14" s="32" t="s">
        <v>175</v>
      </c>
      <c r="C14" s="29"/>
      <c r="D14" s="29"/>
      <c r="E14" s="29"/>
      <c r="F14" s="29"/>
    </row>
    <row r="15" spans="1:6" ht="15.75">
      <c r="A15" s="29">
        <v>8</v>
      </c>
      <c r="B15" s="32" t="s">
        <v>542</v>
      </c>
      <c r="C15" s="29"/>
      <c r="D15" s="29"/>
      <c r="E15" s="29"/>
      <c r="F15" s="29"/>
    </row>
    <row r="16" spans="1:6" ht="15.75">
      <c r="A16" s="29">
        <v>9</v>
      </c>
      <c r="B16" s="32" t="s">
        <v>51</v>
      </c>
      <c r="C16" s="29"/>
      <c r="D16" s="29"/>
      <c r="E16" s="29"/>
      <c r="F16" s="29"/>
    </row>
    <row r="17" spans="1:6" ht="15.75">
      <c r="A17" s="29">
        <v>10</v>
      </c>
      <c r="B17" s="32"/>
      <c r="C17" s="29"/>
      <c r="D17" s="29"/>
      <c r="E17" s="29"/>
      <c r="F17" s="29"/>
    </row>
    <row r="18" spans="1:6" ht="15.75">
      <c r="A18" s="29">
        <v>11</v>
      </c>
      <c r="B18" s="32"/>
      <c r="C18" s="29"/>
      <c r="D18" s="29"/>
      <c r="E18" s="29"/>
      <c r="F18" s="29"/>
    </row>
    <row r="19" spans="1:6" ht="15.75">
      <c r="A19" s="29">
        <v>12</v>
      </c>
      <c r="B19" s="32"/>
      <c r="C19" s="29"/>
      <c r="D19" s="29"/>
      <c r="E19" s="29"/>
      <c r="F19" s="29"/>
    </row>
    <row r="20" spans="1:6" ht="15.75">
      <c r="A20" s="29">
        <v>13</v>
      </c>
      <c r="B20" s="32"/>
      <c r="C20" s="29"/>
      <c r="D20" s="29"/>
      <c r="E20" s="29"/>
      <c r="F20" s="29"/>
    </row>
    <row r="21" spans="1:6" ht="15.75">
      <c r="A21" s="29">
        <v>14</v>
      </c>
      <c r="B21" s="32"/>
      <c r="C21" s="29"/>
      <c r="D21" s="29"/>
      <c r="E21" s="29"/>
      <c r="F21" s="29"/>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5">
    <mergeCell ref="A5:A6"/>
    <mergeCell ref="B5:B6"/>
    <mergeCell ref="C5:F5"/>
    <mergeCell ref="A2:F2"/>
    <mergeCell ref="A3:F3"/>
  </mergeCell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U48"/>
  <sheetViews>
    <sheetView topLeftCell="A4" zoomScaleNormal="75" workbookViewId="0">
      <pane xSplit="2" ySplit="6" topLeftCell="C10" activePane="bottomRight" state="frozen"/>
      <selection activeCell="A4" sqref="A4"/>
      <selection pane="topRight" activeCell="C4" sqref="C4"/>
      <selection pane="bottomLeft" activeCell="A10" sqref="A10"/>
      <selection pane="bottomRight" activeCell="L22" sqref="L22"/>
    </sheetView>
  </sheetViews>
  <sheetFormatPr defaultRowHeight="15"/>
  <cols>
    <col min="1" max="1" width="6.28515625" customWidth="1"/>
    <col min="2" max="2" width="22.5703125" customWidth="1"/>
    <col min="3" max="3" width="10.85546875" customWidth="1"/>
    <col min="4" max="4" width="11.85546875" customWidth="1"/>
    <col min="11" max="11" width="10.5703125" customWidth="1"/>
    <col min="12" max="12" width="10.28515625" customWidth="1"/>
    <col min="18" max="18" width="10.7109375" customWidth="1"/>
  </cols>
  <sheetData>
    <row r="1" spans="1:21" ht="15.75">
      <c r="U1" s="26" t="s">
        <v>595</v>
      </c>
    </row>
    <row r="2" spans="1:21" ht="15.75">
      <c r="A2" s="774" t="s">
        <v>1491</v>
      </c>
      <c r="B2" s="774"/>
      <c r="C2" s="774"/>
      <c r="D2" s="774"/>
      <c r="E2" s="774"/>
      <c r="F2" s="774"/>
      <c r="G2" s="774"/>
      <c r="H2" s="774"/>
      <c r="I2" s="774"/>
      <c r="J2" s="774"/>
      <c r="K2" s="774"/>
      <c r="L2" s="774"/>
      <c r="M2" s="774"/>
      <c r="N2" s="774"/>
      <c r="O2" s="774"/>
      <c r="P2" s="774"/>
      <c r="Q2" s="774"/>
      <c r="R2" s="774"/>
      <c r="S2" s="774"/>
      <c r="T2" s="774"/>
      <c r="U2" s="774"/>
    </row>
    <row r="3" spans="1:21" ht="15.75">
      <c r="A3" s="774"/>
      <c r="B3" s="774"/>
      <c r="C3" s="774"/>
      <c r="D3" s="774"/>
      <c r="E3" s="774"/>
      <c r="F3" s="774"/>
      <c r="G3" s="774"/>
      <c r="H3" s="774"/>
      <c r="I3" s="774"/>
      <c r="J3" s="774"/>
      <c r="K3" s="774"/>
      <c r="L3" s="774"/>
      <c r="M3" s="774"/>
      <c r="N3" s="774"/>
      <c r="O3" s="774"/>
      <c r="P3" s="774"/>
      <c r="Q3" s="774"/>
      <c r="R3" s="774"/>
      <c r="S3" s="774"/>
      <c r="T3" s="774"/>
      <c r="U3" s="774"/>
    </row>
    <row r="4" spans="1:21" ht="15.75">
      <c r="U4" s="27" t="s">
        <v>56</v>
      </c>
    </row>
    <row r="5" spans="1:21" ht="19.5" customHeight="1">
      <c r="A5" s="773" t="s">
        <v>3</v>
      </c>
      <c r="B5" s="773" t="s">
        <v>1288</v>
      </c>
      <c r="C5" s="773" t="s">
        <v>631</v>
      </c>
      <c r="D5" s="773" t="s">
        <v>1490</v>
      </c>
      <c r="E5" s="773"/>
      <c r="F5" s="773"/>
      <c r="G5" s="773"/>
      <c r="H5" s="773"/>
      <c r="I5" s="773"/>
      <c r="J5" s="773"/>
      <c r="K5" s="773"/>
      <c r="L5" s="773"/>
      <c r="M5" s="773"/>
      <c r="N5" s="773"/>
      <c r="O5" s="773"/>
      <c r="P5" s="773"/>
      <c r="Q5" s="773" t="s">
        <v>632</v>
      </c>
      <c r="R5" s="773"/>
      <c r="S5" s="773"/>
      <c r="T5" s="773"/>
      <c r="U5" s="773" t="s">
        <v>245</v>
      </c>
    </row>
    <row r="6" spans="1:21" ht="19.5" customHeight="1">
      <c r="A6" s="773"/>
      <c r="B6" s="773"/>
      <c r="C6" s="773"/>
      <c r="D6" s="773" t="s">
        <v>130</v>
      </c>
      <c r="E6" s="773" t="s">
        <v>340</v>
      </c>
      <c r="F6" s="773"/>
      <c r="G6" s="773"/>
      <c r="H6" s="773"/>
      <c r="I6" s="773"/>
      <c r="J6" s="773"/>
      <c r="K6" s="773" t="s">
        <v>96</v>
      </c>
      <c r="L6" s="773"/>
      <c r="M6" s="773"/>
      <c r="N6" s="773" t="s">
        <v>240</v>
      </c>
      <c r="O6" s="773" t="s">
        <v>241</v>
      </c>
      <c r="P6" s="773" t="s">
        <v>633</v>
      </c>
      <c r="Q6" s="773" t="s">
        <v>130</v>
      </c>
      <c r="R6" s="773" t="s">
        <v>634</v>
      </c>
      <c r="S6" s="773" t="s">
        <v>635</v>
      </c>
      <c r="T6" s="773" t="s">
        <v>636</v>
      </c>
      <c r="U6" s="773"/>
    </row>
    <row r="7" spans="1:21" ht="21" customHeight="1">
      <c r="A7" s="773"/>
      <c r="B7" s="773"/>
      <c r="C7" s="773"/>
      <c r="D7" s="773"/>
      <c r="E7" s="773" t="s">
        <v>130</v>
      </c>
      <c r="F7" s="773" t="s">
        <v>162</v>
      </c>
      <c r="G7" s="773"/>
      <c r="H7" s="773" t="s">
        <v>537</v>
      </c>
      <c r="I7" s="773" t="s">
        <v>538</v>
      </c>
      <c r="J7" s="773" t="s">
        <v>392</v>
      </c>
      <c r="K7" s="773" t="s">
        <v>130</v>
      </c>
      <c r="L7" s="773" t="s">
        <v>162</v>
      </c>
      <c r="M7" s="773"/>
      <c r="N7" s="773"/>
      <c r="O7" s="773"/>
      <c r="P7" s="773"/>
      <c r="Q7" s="773"/>
      <c r="R7" s="773"/>
      <c r="S7" s="773"/>
      <c r="T7" s="773"/>
      <c r="U7" s="773"/>
    </row>
    <row r="8" spans="1:21" ht="99.75" customHeight="1">
      <c r="A8" s="773"/>
      <c r="B8" s="773"/>
      <c r="C8" s="773"/>
      <c r="D8" s="773"/>
      <c r="E8" s="773"/>
      <c r="F8" s="30" t="s">
        <v>539</v>
      </c>
      <c r="G8" s="30" t="s">
        <v>390</v>
      </c>
      <c r="H8" s="773"/>
      <c r="I8" s="773"/>
      <c r="J8" s="773"/>
      <c r="K8" s="773"/>
      <c r="L8" s="30" t="s">
        <v>539</v>
      </c>
      <c r="M8" s="30" t="s">
        <v>580</v>
      </c>
      <c r="N8" s="773"/>
      <c r="O8" s="773"/>
      <c r="P8" s="773"/>
      <c r="Q8" s="773"/>
      <c r="R8" s="773"/>
      <c r="S8" s="773"/>
      <c r="T8" s="773"/>
      <c r="U8" s="773"/>
    </row>
    <row r="9" spans="1:21" s="41" customFormat="1" ht="25.5">
      <c r="A9" s="40" t="s">
        <v>15</v>
      </c>
      <c r="B9" s="40" t="s">
        <v>16</v>
      </c>
      <c r="C9" s="40" t="s">
        <v>637</v>
      </c>
      <c r="D9" s="40" t="s">
        <v>638</v>
      </c>
      <c r="E9" s="40" t="s">
        <v>639</v>
      </c>
      <c r="F9" s="40">
        <v>4</v>
      </c>
      <c r="G9" s="40">
        <v>5</v>
      </c>
      <c r="H9" s="40">
        <v>6</v>
      </c>
      <c r="I9" s="40">
        <v>7</v>
      </c>
      <c r="J9" s="40">
        <v>8</v>
      </c>
      <c r="K9" s="40">
        <v>9</v>
      </c>
      <c r="L9" s="40">
        <v>10</v>
      </c>
      <c r="M9" s="40">
        <v>11</v>
      </c>
      <c r="N9" s="40">
        <v>12</v>
      </c>
      <c r="O9" s="40">
        <v>13</v>
      </c>
      <c r="P9" s="40">
        <v>14</v>
      </c>
      <c r="Q9" s="40" t="s">
        <v>640</v>
      </c>
      <c r="R9" s="40">
        <v>16</v>
      </c>
      <c r="S9" s="40">
        <v>17</v>
      </c>
      <c r="T9" s="40">
        <v>18</v>
      </c>
      <c r="U9" s="40">
        <v>19</v>
      </c>
    </row>
    <row r="10" spans="1:21" s="101" customFormat="1" ht="15.75">
      <c r="A10" s="71"/>
      <c r="B10" s="72" t="s">
        <v>133</v>
      </c>
      <c r="C10" s="167" t="e">
        <f t="shared" ref="C10:U10" si="0">SUM(C11:C25)</f>
        <v>#REF!</v>
      </c>
      <c r="D10" s="167" t="e">
        <f t="shared" si="0"/>
        <v>#REF!</v>
      </c>
      <c r="E10" s="167" t="e">
        <f t="shared" si="0"/>
        <v>#REF!</v>
      </c>
      <c r="F10" s="167">
        <f t="shared" si="0"/>
        <v>0</v>
      </c>
      <c r="G10" s="167">
        <f t="shared" si="0"/>
        <v>0</v>
      </c>
      <c r="H10" s="167" t="e">
        <f t="shared" si="0"/>
        <v>#REF!</v>
      </c>
      <c r="I10" s="167">
        <f t="shared" si="0"/>
        <v>0</v>
      </c>
      <c r="J10" s="167" t="e">
        <f t="shared" si="0"/>
        <v>#REF!</v>
      </c>
      <c r="K10" s="167" t="e">
        <f t="shared" si="0"/>
        <v>#REF!</v>
      </c>
      <c r="L10" s="167" t="e">
        <f t="shared" si="0"/>
        <v>#REF!</v>
      </c>
      <c r="M10" s="167">
        <f t="shared" si="0"/>
        <v>0</v>
      </c>
      <c r="N10" s="167">
        <f t="shared" si="0"/>
        <v>0</v>
      </c>
      <c r="O10" s="167" t="e">
        <f t="shared" si="0"/>
        <v>#REF!</v>
      </c>
      <c r="P10" s="167" t="e">
        <f t="shared" si="0"/>
        <v>#REF!</v>
      </c>
      <c r="Q10" s="167" t="e">
        <f t="shared" si="0"/>
        <v>#REF!</v>
      </c>
      <c r="R10" s="167" t="e">
        <f t="shared" si="0"/>
        <v>#REF!</v>
      </c>
      <c r="S10" s="167">
        <f t="shared" si="0"/>
        <v>0</v>
      </c>
      <c r="T10" s="167">
        <f t="shared" si="0"/>
        <v>0</v>
      </c>
      <c r="U10" s="167">
        <f t="shared" si="0"/>
        <v>0</v>
      </c>
    </row>
    <row r="11" spans="1:21" ht="15.75">
      <c r="A11" s="83">
        <v>1</v>
      </c>
      <c r="B11" s="60" t="s">
        <v>831</v>
      </c>
      <c r="C11" s="158" t="e">
        <f>D11+Q11+U11</f>
        <v>#REF!</v>
      </c>
      <c r="D11" s="158" t="e">
        <f>+E11+K11+N11+O11+P11</f>
        <v>#REF!</v>
      </c>
      <c r="E11" s="158" t="e">
        <f>+H11+I11+J11</f>
        <v>#REF!</v>
      </c>
      <c r="F11" s="158"/>
      <c r="G11" s="158"/>
      <c r="H11" s="158" t="e">
        <f>'49-CK NSNN'!#REF!</f>
        <v>#REF!</v>
      </c>
      <c r="I11" s="158"/>
      <c r="J11" s="158" t="e">
        <f>'49-CK NSNN'!#REF!</f>
        <v>#REF!</v>
      </c>
      <c r="K11" s="158" t="e">
        <f>'49-CK NSNN'!#REF!</f>
        <v>#REF!</v>
      </c>
      <c r="L11" s="158" t="e">
        <f>'49-CK NSNN'!#REF!</f>
        <v>#REF!</v>
      </c>
      <c r="M11" s="158"/>
      <c r="N11" s="158"/>
      <c r="O11" s="158" t="e">
        <f>'49-CK NSNN'!#REF!</f>
        <v>#REF!</v>
      </c>
      <c r="P11" s="158" t="e">
        <f>'49-CK NSNN'!#REF!</f>
        <v>#REF!</v>
      </c>
      <c r="Q11" s="158" t="e">
        <f>+R11+S11+T11</f>
        <v>#REF!</v>
      </c>
      <c r="R11" s="158" t="e">
        <f>'42 - BS Co MT H'!D8</f>
        <v>#REF!</v>
      </c>
      <c r="S11" s="158">
        <f>'42 - BS Co MT H'!E8</f>
        <v>0</v>
      </c>
      <c r="T11" s="158">
        <f>'42 - BS Co MT H'!F8</f>
        <v>0</v>
      </c>
      <c r="U11" s="158"/>
    </row>
    <row r="12" spans="1:21" ht="15.75">
      <c r="A12" s="83">
        <v>2</v>
      </c>
      <c r="B12" s="60" t="s">
        <v>917</v>
      </c>
      <c r="C12" s="158" t="e">
        <f t="shared" ref="C12:C25" si="1">D12+Q12+U12</f>
        <v>#REF!</v>
      </c>
      <c r="D12" s="158" t="e">
        <f t="shared" ref="D12:D25" si="2">+E12+K12+N12+O12+P12</f>
        <v>#REF!</v>
      </c>
      <c r="E12" s="158" t="e">
        <f t="shared" ref="E12:E25" si="3">+H12+I12+J12</f>
        <v>#REF!</v>
      </c>
      <c r="F12" s="158"/>
      <c r="G12" s="158"/>
      <c r="H12" s="158" t="e">
        <f>'49-CK NSNN'!#REF!</f>
        <v>#REF!</v>
      </c>
      <c r="I12" s="158"/>
      <c r="J12" s="158" t="e">
        <f>'49-CK NSNN'!#REF!</f>
        <v>#REF!</v>
      </c>
      <c r="K12" s="158" t="e">
        <f>'49-CK NSNN'!#REF!</f>
        <v>#REF!</v>
      </c>
      <c r="L12" s="158" t="e">
        <f>'49-CK NSNN'!#REF!</f>
        <v>#REF!</v>
      </c>
      <c r="M12" s="158"/>
      <c r="N12" s="158"/>
      <c r="O12" s="158" t="e">
        <f>'49-CK NSNN'!#REF!</f>
        <v>#REF!</v>
      </c>
      <c r="P12" s="158" t="e">
        <f>'49-CK NSNN'!#REF!</f>
        <v>#REF!</v>
      </c>
      <c r="Q12" s="158" t="e">
        <f t="shared" ref="Q12:Q25" si="4">+R12+S12+T12</f>
        <v>#REF!</v>
      </c>
      <c r="R12" s="158" t="e">
        <f>'42 - BS Co MT H'!D9</f>
        <v>#REF!</v>
      </c>
      <c r="S12" s="158">
        <f>'42 - BS Co MT H'!E9</f>
        <v>0</v>
      </c>
      <c r="T12" s="158">
        <f>'42 - BS Co MT H'!F9</f>
        <v>0</v>
      </c>
      <c r="U12" s="158"/>
    </row>
    <row r="13" spans="1:21" ht="15.75">
      <c r="A13" s="83">
        <v>3</v>
      </c>
      <c r="B13" s="60" t="s">
        <v>918</v>
      </c>
      <c r="C13" s="158" t="e">
        <f t="shared" si="1"/>
        <v>#REF!</v>
      </c>
      <c r="D13" s="158" t="e">
        <f t="shared" si="2"/>
        <v>#REF!</v>
      </c>
      <c r="E13" s="158" t="e">
        <f t="shared" si="3"/>
        <v>#REF!</v>
      </c>
      <c r="F13" s="158"/>
      <c r="G13" s="158"/>
      <c r="H13" s="158" t="e">
        <f>'49-CK NSNN'!#REF!</f>
        <v>#REF!</v>
      </c>
      <c r="I13" s="158"/>
      <c r="J13" s="158" t="e">
        <f>'49-CK NSNN'!#REF!</f>
        <v>#REF!</v>
      </c>
      <c r="K13" s="158" t="e">
        <f>'49-CK NSNN'!#REF!</f>
        <v>#REF!</v>
      </c>
      <c r="L13" s="158" t="e">
        <f>'49-CK NSNN'!#REF!</f>
        <v>#REF!</v>
      </c>
      <c r="M13" s="158"/>
      <c r="N13" s="158"/>
      <c r="O13" s="158" t="e">
        <f>'49-CK NSNN'!#REF!</f>
        <v>#REF!</v>
      </c>
      <c r="P13" s="158" t="e">
        <f>'49-CK NSNN'!#REF!</f>
        <v>#REF!</v>
      </c>
      <c r="Q13" s="158" t="e">
        <f t="shared" si="4"/>
        <v>#REF!</v>
      </c>
      <c r="R13" s="158" t="e">
        <f>'42 - BS Co MT H'!D10</f>
        <v>#REF!</v>
      </c>
      <c r="S13" s="158">
        <f>'42 - BS Co MT H'!E10</f>
        <v>0</v>
      </c>
      <c r="T13" s="158">
        <f>'42 - BS Co MT H'!F10</f>
        <v>0</v>
      </c>
      <c r="U13" s="158"/>
    </row>
    <row r="14" spans="1:21" ht="15.75">
      <c r="A14" s="83">
        <v>4</v>
      </c>
      <c r="B14" s="60" t="s">
        <v>919</v>
      </c>
      <c r="C14" s="158" t="e">
        <f t="shared" si="1"/>
        <v>#REF!</v>
      </c>
      <c r="D14" s="158" t="e">
        <f t="shared" si="2"/>
        <v>#REF!</v>
      </c>
      <c r="E14" s="158" t="e">
        <f t="shared" si="3"/>
        <v>#REF!</v>
      </c>
      <c r="F14" s="158"/>
      <c r="G14" s="158"/>
      <c r="H14" s="158" t="e">
        <f>'49-CK NSNN'!#REF!</f>
        <v>#REF!</v>
      </c>
      <c r="I14" s="158"/>
      <c r="J14" s="158" t="e">
        <f>'49-CK NSNN'!#REF!</f>
        <v>#REF!</v>
      </c>
      <c r="K14" s="158" t="e">
        <f>'49-CK NSNN'!#REF!</f>
        <v>#REF!</v>
      </c>
      <c r="L14" s="158" t="e">
        <f>'49-CK NSNN'!#REF!</f>
        <v>#REF!</v>
      </c>
      <c r="M14" s="158"/>
      <c r="N14" s="158"/>
      <c r="O14" s="158" t="e">
        <f>'49-CK NSNN'!#REF!</f>
        <v>#REF!</v>
      </c>
      <c r="P14" s="158" t="e">
        <f>'49-CK NSNN'!#REF!</f>
        <v>#REF!</v>
      </c>
      <c r="Q14" s="158" t="e">
        <f t="shared" si="4"/>
        <v>#REF!</v>
      </c>
      <c r="R14" s="158" t="e">
        <f>'42 - BS Co MT H'!D11</f>
        <v>#REF!</v>
      </c>
      <c r="S14" s="158">
        <f>'42 - BS Co MT H'!E11</f>
        <v>0</v>
      </c>
      <c r="T14" s="158">
        <f>'42 - BS Co MT H'!F11</f>
        <v>0</v>
      </c>
      <c r="U14" s="158"/>
    </row>
    <row r="15" spans="1:21" ht="15.75">
      <c r="A15" s="83">
        <v>5</v>
      </c>
      <c r="B15" s="60" t="s">
        <v>920</v>
      </c>
      <c r="C15" s="158" t="e">
        <f t="shared" si="1"/>
        <v>#REF!</v>
      </c>
      <c r="D15" s="158" t="e">
        <f t="shared" si="2"/>
        <v>#REF!</v>
      </c>
      <c r="E15" s="158" t="e">
        <f t="shared" si="3"/>
        <v>#REF!</v>
      </c>
      <c r="F15" s="158"/>
      <c r="G15" s="158"/>
      <c r="H15" s="158" t="e">
        <f>'49-CK NSNN'!#REF!</f>
        <v>#REF!</v>
      </c>
      <c r="I15" s="158"/>
      <c r="J15" s="158" t="e">
        <f>'49-CK NSNN'!#REF!</f>
        <v>#REF!</v>
      </c>
      <c r="K15" s="158" t="e">
        <f>'49-CK NSNN'!#REF!</f>
        <v>#REF!</v>
      </c>
      <c r="L15" s="158" t="e">
        <f>'49-CK NSNN'!#REF!</f>
        <v>#REF!</v>
      </c>
      <c r="M15" s="158"/>
      <c r="N15" s="158"/>
      <c r="O15" s="158" t="e">
        <f>'49-CK NSNN'!#REF!</f>
        <v>#REF!</v>
      </c>
      <c r="P15" s="158" t="e">
        <f>'49-CK NSNN'!#REF!</f>
        <v>#REF!</v>
      </c>
      <c r="Q15" s="158" t="e">
        <f t="shared" si="4"/>
        <v>#REF!</v>
      </c>
      <c r="R15" s="158" t="e">
        <f>'42 - BS Co MT H'!D12</f>
        <v>#REF!</v>
      </c>
      <c r="S15" s="158">
        <f>'42 - BS Co MT H'!E12</f>
        <v>0</v>
      </c>
      <c r="T15" s="158">
        <f>'42 - BS Co MT H'!F12</f>
        <v>0</v>
      </c>
      <c r="U15" s="158"/>
    </row>
    <row r="16" spans="1:21" ht="15.75">
      <c r="A16" s="83">
        <v>6</v>
      </c>
      <c r="B16" s="60" t="s">
        <v>921</v>
      </c>
      <c r="C16" s="158" t="e">
        <f t="shared" si="1"/>
        <v>#REF!</v>
      </c>
      <c r="D16" s="158" t="e">
        <f t="shared" si="2"/>
        <v>#REF!</v>
      </c>
      <c r="E16" s="158" t="e">
        <f t="shared" si="3"/>
        <v>#REF!</v>
      </c>
      <c r="F16" s="158"/>
      <c r="G16" s="158"/>
      <c r="H16" s="158" t="e">
        <f>'49-CK NSNN'!#REF!</f>
        <v>#REF!</v>
      </c>
      <c r="I16" s="158"/>
      <c r="J16" s="158" t="e">
        <f>'49-CK NSNN'!#REF!</f>
        <v>#REF!</v>
      </c>
      <c r="K16" s="158" t="e">
        <f>'49-CK NSNN'!#REF!</f>
        <v>#REF!</v>
      </c>
      <c r="L16" s="158" t="e">
        <f>'49-CK NSNN'!#REF!</f>
        <v>#REF!</v>
      </c>
      <c r="M16" s="158"/>
      <c r="N16" s="158"/>
      <c r="O16" s="158" t="e">
        <f>'49-CK NSNN'!#REF!</f>
        <v>#REF!</v>
      </c>
      <c r="P16" s="158" t="e">
        <f>'49-CK NSNN'!#REF!</f>
        <v>#REF!</v>
      </c>
      <c r="Q16" s="158" t="e">
        <f t="shared" si="4"/>
        <v>#REF!</v>
      </c>
      <c r="R16" s="158" t="e">
        <f>'42 - BS Co MT H'!D13</f>
        <v>#REF!</v>
      </c>
      <c r="S16" s="158">
        <f>'42 - BS Co MT H'!E13</f>
        <v>0</v>
      </c>
      <c r="T16" s="158">
        <f>'42 - BS Co MT H'!F13</f>
        <v>0</v>
      </c>
      <c r="U16" s="158"/>
    </row>
    <row r="17" spans="1:21" ht="15.75">
      <c r="A17" s="83">
        <v>7</v>
      </c>
      <c r="B17" s="60" t="s">
        <v>922</v>
      </c>
      <c r="C17" s="158" t="e">
        <f t="shared" si="1"/>
        <v>#REF!</v>
      </c>
      <c r="D17" s="158" t="e">
        <f t="shared" si="2"/>
        <v>#REF!</v>
      </c>
      <c r="E17" s="158" t="e">
        <f t="shared" si="3"/>
        <v>#REF!</v>
      </c>
      <c r="F17" s="158"/>
      <c r="G17" s="158"/>
      <c r="H17" s="158" t="e">
        <f>'49-CK NSNN'!#REF!</f>
        <v>#REF!</v>
      </c>
      <c r="I17" s="158"/>
      <c r="J17" s="158" t="e">
        <f>'49-CK NSNN'!#REF!</f>
        <v>#REF!</v>
      </c>
      <c r="K17" s="158" t="e">
        <f>'49-CK NSNN'!#REF!</f>
        <v>#REF!</v>
      </c>
      <c r="L17" s="158" t="e">
        <f>'49-CK NSNN'!#REF!</f>
        <v>#REF!</v>
      </c>
      <c r="M17" s="158"/>
      <c r="N17" s="158"/>
      <c r="O17" s="158" t="e">
        <f>'49-CK NSNN'!#REF!</f>
        <v>#REF!</v>
      </c>
      <c r="P17" s="158" t="e">
        <f>'49-CK NSNN'!#REF!</f>
        <v>#REF!</v>
      </c>
      <c r="Q17" s="158" t="e">
        <f t="shared" si="4"/>
        <v>#REF!</v>
      </c>
      <c r="R17" s="158" t="e">
        <f>'42 - BS Co MT H'!D14</f>
        <v>#REF!</v>
      </c>
      <c r="S17" s="158">
        <f>'42 - BS Co MT H'!E14</f>
        <v>0</v>
      </c>
      <c r="T17" s="158">
        <f>'42 - BS Co MT H'!F14</f>
        <v>0</v>
      </c>
      <c r="U17" s="158"/>
    </row>
    <row r="18" spans="1:21" ht="15.75">
      <c r="A18" s="83">
        <v>8</v>
      </c>
      <c r="B18" s="60" t="s">
        <v>923</v>
      </c>
      <c r="C18" s="158" t="e">
        <f t="shared" si="1"/>
        <v>#REF!</v>
      </c>
      <c r="D18" s="158" t="e">
        <f t="shared" si="2"/>
        <v>#REF!</v>
      </c>
      <c r="E18" s="158" t="e">
        <f t="shared" si="3"/>
        <v>#REF!</v>
      </c>
      <c r="F18" s="158"/>
      <c r="G18" s="158"/>
      <c r="H18" s="158" t="e">
        <f>'49-CK NSNN'!#REF!</f>
        <v>#REF!</v>
      </c>
      <c r="I18" s="158"/>
      <c r="J18" s="158" t="e">
        <f>'49-CK NSNN'!#REF!</f>
        <v>#REF!</v>
      </c>
      <c r="K18" s="158" t="e">
        <f>'49-CK NSNN'!#REF!</f>
        <v>#REF!</v>
      </c>
      <c r="L18" s="158" t="e">
        <f>'49-CK NSNN'!#REF!</f>
        <v>#REF!</v>
      </c>
      <c r="M18" s="158"/>
      <c r="N18" s="158"/>
      <c r="O18" s="158" t="e">
        <f>'49-CK NSNN'!#REF!</f>
        <v>#REF!</v>
      </c>
      <c r="P18" s="158" t="e">
        <f>'49-CK NSNN'!#REF!</f>
        <v>#REF!</v>
      </c>
      <c r="Q18" s="158" t="e">
        <f t="shared" si="4"/>
        <v>#REF!</v>
      </c>
      <c r="R18" s="158" t="e">
        <f>'42 - BS Co MT H'!D15</f>
        <v>#REF!</v>
      </c>
      <c r="S18" s="158">
        <f>'42 - BS Co MT H'!E15</f>
        <v>0</v>
      </c>
      <c r="T18" s="158">
        <f>'42 - BS Co MT H'!F15</f>
        <v>0</v>
      </c>
      <c r="U18" s="158"/>
    </row>
    <row r="19" spans="1:21" ht="15.75">
      <c r="A19" s="83">
        <v>9</v>
      </c>
      <c r="B19" s="60" t="s">
        <v>924</v>
      </c>
      <c r="C19" s="158" t="e">
        <f t="shared" si="1"/>
        <v>#REF!</v>
      </c>
      <c r="D19" s="158" t="e">
        <f t="shared" si="2"/>
        <v>#REF!</v>
      </c>
      <c r="E19" s="158" t="e">
        <f t="shared" si="3"/>
        <v>#REF!</v>
      </c>
      <c r="F19" s="158"/>
      <c r="G19" s="158"/>
      <c r="H19" s="158" t="e">
        <f>'49-CK NSNN'!#REF!</f>
        <v>#REF!</v>
      </c>
      <c r="I19" s="158"/>
      <c r="J19" s="158" t="e">
        <f>'49-CK NSNN'!#REF!</f>
        <v>#REF!</v>
      </c>
      <c r="K19" s="158" t="e">
        <f>'49-CK NSNN'!#REF!</f>
        <v>#REF!</v>
      </c>
      <c r="L19" s="158" t="e">
        <f>'49-CK NSNN'!#REF!</f>
        <v>#REF!</v>
      </c>
      <c r="M19" s="158"/>
      <c r="N19" s="158"/>
      <c r="O19" s="158" t="e">
        <f>'49-CK NSNN'!#REF!</f>
        <v>#REF!</v>
      </c>
      <c r="P19" s="158" t="e">
        <f>'49-CK NSNN'!#REF!</f>
        <v>#REF!</v>
      </c>
      <c r="Q19" s="158" t="e">
        <f t="shared" si="4"/>
        <v>#REF!</v>
      </c>
      <c r="R19" s="158" t="e">
        <f>'42 - BS Co MT H'!D16</f>
        <v>#REF!</v>
      </c>
      <c r="S19" s="158">
        <f>'42 - BS Co MT H'!E16</f>
        <v>0</v>
      </c>
      <c r="T19" s="158">
        <f>'42 - BS Co MT H'!F16</f>
        <v>0</v>
      </c>
      <c r="U19" s="158"/>
    </row>
    <row r="20" spans="1:21" ht="15.75">
      <c r="A20" s="83">
        <v>10</v>
      </c>
      <c r="B20" s="60" t="s">
        <v>925</v>
      </c>
      <c r="C20" s="158" t="e">
        <f t="shared" si="1"/>
        <v>#REF!</v>
      </c>
      <c r="D20" s="158" t="e">
        <f t="shared" si="2"/>
        <v>#REF!</v>
      </c>
      <c r="E20" s="158" t="e">
        <f t="shared" si="3"/>
        <v>#REF!</v>
      </c>
      <c r="F20" s="158"/>
      <c r="G20" s="158"/>
      <c r="H20" s="158" t="e">
        <f>'49-CK NSNN'!#REF!</f>
        <v>#REF!</v>
      </c>
      <c r="I20" s="158"/>
      <c r="J20" s="158" t="e">
        <f>'49-CK NSNN'!#REF!</f>
        <v>#REF!</v>
      </c>
      <c r="K20" s="158" t="e">
        <f>'49-CK NSNN'!#REF!</f>
        <v>#REF!</v>
      </c>
      <c r="L20" s="158" t="e">
        <f>'49-CK NSNN'!#REF!</f>
        <v>#REF!</v>
      </c>
      <c r="M20" s="158"/>
      <c r="N20" s="158"/>
      <c r="O20" s="158" t="e">
        <f>'49-CK NSNN'!#REF!</f>
        <v>#REF!</v>
      </c>
      <c r="P20" s="158" t="e">
        <f>'49-CK NSNN'!#REF!</f>
        <v>#REF!</v>
      </c>
      <c r="Q20" s="158" t="e">
        <f t="shared" si="4"/>
        <v>#REF!</v>
      </c>
      <c r="R20" s="158" t="e">
        <f>'42 - BS Co MT H'!D17</f>
        <v>#REF!</v>
      </c>
      <c r="S20" s="158">
        <f>'42 - BS Co MT H'!E17</f>
        <v>0</v>
      </c>
      <c r="T20" s="158">
        <f>'42 - BS Co MT H'!F17</f>
        <v>0</v>
      </c>
      <c r="U20" s="158"/>
    </row>
    <row r="21" spans="1:21" ht="15.75">
      <c r="A21" s="83">
        <v>11</v>
      </c>
      <c r="B21" s="60" t="s">
        <v>926</v>
      </c>
      <c r="C21" s="158" t="e">
        <f t="shared" si="1"/>
        <v>#REF!</v>
      </c>
      <c r="D21" s="158" t="e">
        <f t="shared" si="2"/>
        <v>#REF!</v>
      </c>
      <c r="E21" s="158" t="e">
        <f t="shared" si="3"/>
        <v>#REF!</v>
      </c>
      <c r="F21" s="158"/>
      <c r="G21" s="158"/>
      <c r="H21" s="158" t="e">
        <f>'49-CK NSNN'!#REF!</f>
        <v>#REF!</v>
      </c>
      <c r="I21" s="158"/>
      <c r="J21" s="158" t="e">
        <f>'49-CK NSNN'!#REF!</f>
        <v>#REF!</v>
      </c>
      <c r="K21" s="158" t="e">
        <f>'49-CK NSNN'!#REF!</f>
        <v>#REF!</v>
      </c>
      <c r="L21" s="158" t="e">
        <f>'49-CK NSNN'!#REF!</f>
        <v>#REF!</v>
      </c>
      <c r="M21" s="158"/>
      <c r="N21" s="158"/>
      <c r="O21" s="158" t="e">
        <f>'49-CK NSNN'!#REF!</f>
        <v>#REF!</v>
      </c>
      <c r="P21" s="158" t="e">
        <f>'49-CK NSNN'!#REF!</f>
        <v>#REF!</v>
      </c>
      <c r="Q21" s="158" t="e">
        <f t="shared" si="4"/>
        <v>#REF!</v>
      </c>
      <c r="R21" s="158" t="e">
        <f>'42 - BS Co MT H'!D18</f>
        <v>#REF!</v>
      </c>
      <c r="S21" s="158">
        <f>'42 - BS Co MT H'!E18</f>
        <v>0</v>
      </c>
      <c r="T21" s="158">
        <f>'42 - BS Co MT H'!F18</f>
        <v>0</v>
      </c>
      <c r="U21" s="158"/>
    </row>
    <row r="22" spans="1:21" ht="15.75">
      <c r="A22" s="83">
        <v>12</v>
      </c>
      <c r="B22" s="60" t="s">
        <v>927</v>
      </c>
      <c r="C22" s="158" t="e">
        <f t="shared" si="1"/>
        <v>#REF!</v>
      </c>
      <c r="D22" s="158" t="e">
        <f t="shared" si="2"/>
        <v>#REF!</v>
      </c>
      <c r="E22" s="158" t="e">
        <f t="shared" si="3"/>
        <v>#REF!</v>
      </c>
      <c r="F22" s="158"/>
      <c r="G22" s="158"/>
      <c r="H22" s="158" t="e">
        <f>'49-CK NSNN'!#REF!</f>
        <v>#REF!</v>
      </c>
      <c r="I22" s="158"/>
      <c r="J22" s="158" t="e">
        <f>'49-CK NSNN'!#REF!</f>
        <v>#REF!</v>
      </c>
      <c r="K22" s="158" t="e">
        <f>'49-CK NSNN'!#REF!</f>
        <v>#REF!</v>
      </c>
      <c r="L22" s="158" t="e">
        <f>'49-CK NSNN'!#REF!</f>
        <v>#REF!</v>
      </c>
      <c r="M22" s="158"/>
      <c r="N22" s="158"/>
      <c r="O22" s="158" t="e">
        <f>'49-CK NSNN'!#REF!</f>
        <v>#REF!</v>
      </c>
      <c r="P22" s="158" t="e">
        <f>'49-CK NSNN'!#REF!</f>
        <v>#REF!</v>
      </c>
      <c r="Q22" s="158" t="e">
        <f t="shared" si="4"/>
        <v>#REF!</v>
      </c>
      <c r="R22" s="158" t="e">
        <f>'42 - BS Co MT H'!D19</f>
        <v>#REF!</v>
      </c>
      <c r="S22" s="158">
        <f>'42 - BS Co MT H'!E19</f>
        <v>0</v>
      </c>
      <c r="T22" s="158">
        <f>'42 - BS Co MT H'!F19</f>
        <v>0</v>
      </c>
      <c r="U22" s="158"/>
    </row>
    <row r="23" spans="1:21" ht="15.75">
      <c r="A23" s="83">
        <v>13</v>
      </c>
      <c r="B23" s="60" t="s">
        <v>928</v>
      </c>
      <c r="C23" s="158" t="e">
        <f t="shared" si="1"/>
        <v>#REF!</v>
      </c>
      <c r="D23" s="158" t="e">
        <f t="shared" si="2"/>
        <v>#REF!</v>
      </c>
      <c r="E23" s="158" t="e">
        <f t="shared" si="3"/>
        <v>#REF!</v>
      </c>
      <c r="F23" s="158"/>
      <c r="G23" s="158"/>
      <c r="H23" s="158" t="e">
        <f>'49-CK NSNN'!#REF!</f>
        <v>#REF!</v>
      </c>
      <c r="I23" s="158"/>
      <c r="J23" s="158" t="e">
        <f>'49-CK NSNN'!#REF!</f>
        <v>#REF!</v>
      </c>
      <c r="K23" s="158" t="e">
        <f>'49-CK NSNN'!#REF!</f>
        <v>#REF!</v>
      </c>
      <c r="L23" s="158" t="e">
        <f>'49-CK NSNN'!#REF!</f>
        <v>#REF!</v>
      </c>
      <c r="M23" s="158"/>
      <c r="N23" s="158"/>
      <c r="O23" s="158" t="e">
        <f>'49-CK NSNN'!#REF!</f>
        <v>#REF!</v>
      </c>
      <c r="P23" s="158" t="e">
        <f>'49-CK NSNN'!#REF!</f>
        <v>#REF!</v>
      </c>
      <c r="Q23" s="158" t="e">
        <f t="shared" si="4"/>
        <v>#REF!</v>
      </c>
      <c r="R23" s="158" t="e">
        <f>'42 - BS Co MT H'!D20</f>
        <v>#REF!</v>
      </c>
      <c r="S23" s="158">
        <f>'42 - BS Co MT H'!E20</f>
        <v>0</v>
      </c>
      <c r="T23" s="158">
        <f>'42 - BS Co MT H'!F20</f>
        <v>0</v>
      </c>
      <c r="U23" s="158"/>
    </row>
    <row r="24" spans="1:21" ht="15.75">
      <c r="A24" s="83">
        <v>14</v>
      </c>
      <c r="B24" s="60" t="s">
        <v>929</v>
      </c>
      <c r="C24" s="158" t="e">
        <f t="shared" si="1"/>
        <v>#REF!</v>
      </c>
      <c r="D24" s="158" t="e">
        <f t="shared" si="2"/>
        <v>#REF!</v>
      </c>
      <c r="E24" s="158" t="e">
        <f t="shared" si="3"/>
        <v>#REF!</v>
      </c>
      <c r="F24" s="158"/>
      <c r="G24" s="158"/>
      <c r="H24" s="158" t="e">
        <f>'49-CK NSNN'!#REF!</f>
        <v>#REF!</v>
      </c>
      <c r="I24" s="158"/>
      <c r="J24" s="158" t="e">
        <f>'49-CK NSNN'!#REF!</f>
        <v>#REF!</v>
      </c>
      <c r="K24" s="158" t="e">
        <f>'49-CK NSNN'!#REF!</f>
        <v>#REF!</v>
      </c>
      <c r="L24" s="158" t="e">
        <f>'49-CK NSNN'!#REF!</f>
        <v>#REF!</v>
      </c>
      <c r="M24" s="158"/>
      <c r="N24" s="158"/>
      <c r="O24" s="158" t="e">
        <f>'49-CK NSNN'!#REF!</f>
        <v>#REF!</v>
      </c>
      <c r="P24" s="158" t="e">
        <f>'49-CK NSNN'!#REF!</f>
        <v>#REF!</v>
      </c>
      <c r="Q24" s="158" t="e">
        <f t="shared" si="4"/>
        <v>#REF!</v>
      </c>
      <c r="R24" s="158" t="e">
        <f>'42 - BS Co MT H'!D21</f>
        <v>#REF!</v>
      </c>
      <c r="S24" s="158">
        <f>'42 - BS Co MT H'!E21</f>
        <v>0</v>
      </c>
      <c r="T24" s="158">
        <f>'42 - BS Co MT H'!F21</f>
        <v>0</v>
      </c>
      <c r="U24" s="158"/>
    </row>
    <row r="25" spans="1:21" ht="15.75">
      <c r="A25" s="83">
        <v>15</v>
      </c>
      <c r="B25" s="60" t="s">
        <v>930</v>
      </c>
      <c r="C25" s="158" t="e">
        <f t="shared" si="1"/>
        <v>#REF!</v>
      </c>
      <c r="D25" s="158" t="e">
        <f t="shared" si="2"/>
        <v>#REF!</v>
      </c>
      <c r="E25" s="158" t="e">
        <f t="shared" si="3"/>
        <v>#REF!</v>
      </c>
      <c r="F25" s="158"/>
      <c r="G25" s="158"/>
      <c r="H25" s="158" t="e">
        <f>'49-CK NSNN'!#REF!</f>
        <v>#REF!</v>
      </c>
      <c r="I25" s="158"/>
      <c r="J25" s="158" t="e">
        <f>'49-CK NSNN'!#REF!</f>
        <v>#REF!</v>
      </c>
      <c r="K25" s="158" t="e">
        <f>'49-CK NSNN'!#REF!</f>
        <v>#REF!</v>
      </c>
      <c r="L25" s="158" t="e">
        <f>'49-CK NSNN'!#REF!</f>
        <v>#REF!</v>
      </c>
      <c r="M25" s="158"/>
      <c r="N25" s="158"/>
      <c r="O25" s="158" t="e">
        <f>'49-CK NSNN'!#REF!</f>
        <v>#REF!</v>
      </c>
      <c r="P25" s="158" t="e">
        <f>'49-CK NSNN'!#REF!</f>
        <v>#REF!</v>
      </c>
      <c r="Q25" s="158" t="e">
        <f t="shared" si="4"/>
        <v>#REF!</v>
      </c>
      <c r="R25" s="158" t="e">
        <f>'42 - BS Co MT H'!D22</f>
        <v>#REF!</v>
      </c>
      <c r="S25" s="158">
        <f>'42 - BS Co MT H'!E22</f>
        <v>0</v>
      </c>
      <c r="T25" s="158">
        <f>'42 - BS Co MT H'!F22</f>
        <v>0</v>
      </c>
      <c r="U25" s="158"/>
    </row>
    <row r="26" spans="1:21" ht="15.75">
      <c r="A26" s="81"/>
      <c r="B26" s="92"/>
      <c r="C26" s="159"/>
      <c r="D26" s="159"/>
      <c r="E26" s="159"/>
      <c r="F26" s="159"/>
      <c r="G26" s="159"/>
      <c r="H26" s="159"/>
      <c r="I26" s="159"/>
      <c r="J26" s="159"/>
      <c r="K26" s="159"/>
      <c r="L26" s="159"/>
      <c r="M26" s="159"/>
      <c r="N26" s="159"/>
      <c r="O26" s="159"/>
      <c r="P26" s="159"/>
      <c r="Q26" s="159"/>
      <c r="R26" s="159"/>
      <c r="S26" s="159"/>
      <c r="T26" s="159"/>
      <c r="U26" s="159"/>
    </row>
    <row r="27" spans="1:21" ht="15.75">
      <c r="A27" s="28" t="s">
        <v>528</v>
      </c>
    </row>
    <row r="28" spans="1:21" s="39" customFormat="1" ht="15.75">
      <c r="A28" s="34" t="s">
        <v>642</v>
      </c>
    </row>
    <row r="29" spans="1:21" ht="15.75">
      <c r="A29" s="34" t="s">
        <v>641</v>
      </c>
    </row>
    <row r="31" spans="1:21">
      <c r="B31" t="s">
        <v>1053</v>
      </c>
    </row>
    <row r="32" spans="1:21" ht="15.75">
      <c r="A32" s="73"/>
      <c r="B32" s="72" t="s">
        <v>133</v>
      </c>
      <c r="C32" s="220"/>
      <c r="D32" s="220"/>
      <c r="E32" s="220"/>
      <c r="F32" s="220"/>
      <c r="G32" s="220"/>
      <c r="H32" s="220"/>
      <c r="I32" s="220"/>
      <c r="J32" s="220"/>
      <c r="K32" s="220"/>
      <c r="L32" s="220"/>
      <c r="M32" s="220"/>
      <c r="N32" s="220"/>
      <c r="O32" s="220"/>
      <c r="P32" s="220"/>
      <c r="Q32" s="220"/>
      <c r="R32" s="220"/>
      <c r="S32" s="220"/>
      <c r="T32" s="220"/>
      <c r="U32" s="220"/>
    </row>
    <row r="33" spans="1:21" ht="15.75">
      <c r="A33" s="83">
        <v>1</v>
      </c>
      <c r="B33" s="60" t="s">
        <v>831</v>
      </c>
      <c r="C33" s="158">
        <f>D33+Q33+U33</f>
        <v>0</v>
      </c>
      <c r="D33" s="158">
        <f>+E33+K33+N33+O33+P33</f>
        <v>0</v>
      </c>
      <c r="E33" s="158"/>
      <c r="F33" s="158"/>
      <c r="G33" s="158"/>
      <c r="H33" s="158"/>
      <c r="I33" s="158"/>
      <c r="J33" s="158"/>
      <c r="K33" s="158"/>
      <c r="L33" s="158"/>
      <c r="M33" s="158"/>
      <c r="N33" s="158"/>
      <c r="O33" s="158"/>
      <c r="P33" s="158"/>
      <c r="Q33" s="158">
        <f>+R33+S33+T33</f>
        <v>0</v>
      </c>
      <c r="R33" s="158"/>
      <c r="S33" s="158"/>
      <c r="T33" s="158"/>
      <c r="U33" s="158"/>
    </row>
    <row r="34" spans="1:21" ht="15.75">
      <c r="A34" s="83">
        <v>2</v>
      </c>
      <c r="B34" s="60" t="s">
        <v>917</v>
      </c>
      <c r="C34" s="158">
        <f t="shared" ref="C34:C47" si="5">D34+Q34+U34</f>
        <v>0</v>
      </c>
      <c r="D34" s="158">
        <f t="shared" ref="D34:D47" si="6">+E34+K34+N34+O34+P34</f>
        <v>0</v>
      </c>
      <c r="E34" s="158"/>
      <c r="F34" s="158"/>
      <c r="G34" s="158"/>
      <c r="H34" s="158"/>
      <c r="I34" s="158"/>
      <c r="J34" s="158"/>
      <c r="K34" s="158"/>
      <c r="L34" s="158"/>
      <c r="M34" s="158"/>
      <c r="N34" s="158"/>
      <c r="O34" s="158"/>
      <c r="P34" s="158"/>
      <c r="Q34" s="158">
        <f t="shared" ref="Q34:Q47" si="7">+R34+S34+T34</f>
        <v>0</v>
      </c>
      <c r="R34" s="158"/>
      <c r="S34" s="158"/>
      <c r="T34" s="158"/>
      <c r="U34" s="158"/>
    </row>
    <row r="35" spans="1:21" ht="15.75">
      <c r="A35" s="83">
        <v>3</v>
      </c>
      <c r="B35" s="60" t="s">
        <v>918</v>
      </c>
      <c r="C35" s="158">
        <f t="shared" si="5"/>
        <v>0</v>
      </c>
      <c r="D35" s="158">
        <f t="shared" si="6"/>
        <v>0</v>
      </c>
      <c r="E35" s="158"/>
      <c r="F35" s="158"/>
      <c r="G35" s="158"/>
      <c r="H35" s="158"/>
      <c r="I35" s="158"/>
      <c r="J35" s="158"/>
      <c r="K35" s="158"/>
      <c r="L35" s="158"/>
      <c r="M35" s="158"/>
      <c r="N35" s="158"/>
      <c r="O35" s="158"/>
      <c r="P35" s="158"/>
      <c r="Q35" s="158">
        <f t="shared" si="7"/>
        <v>0</v>
      </c>
      <c r="R35" s="158"/>
      <c r="S35" s="158"/>
      <c r="T35" s="158"/>
      <c r="U35" s="158"/>
    </row>
    <row r="36" spans="1:21" ht="15.75">
      <c r="A36" s="83">
        <v>4</v>
      </c>
      <c r="B36" s="60" t="s">
        <v>919</v>
      </c>
      <c r="C36" s="158">
        <f t="shared" si="5"/>
        <v>0</v>
      </c>
      <c r="D36" s="158">
        <f t="shared" si="6"/>
        <v>0</v>
      </c>
      <c r="E36" s="158"/>
      <c r="F36" s="158"/>
      <c r="G36" s="158"/>
      <c r="H36" s="158"/>
      <c r="I36" s="158"/>
      <c r="J36" s="158"/>
      <c r="K36" s="158"/>
      <c r="L36" s="158"/>
      <c r="M36" s="158"/>
      <c r="N36" s="158"/>
      <c r="O36" s="158"/>
      <c r="P36" s="158"/>
      <c r="Q36" s="158">
        <f t="shared" si="7"/>
        <v>0</v>
      </c>
      <c r="R36" s="158"/>
      <c r="S36" s="158"/>
      <c r="T36" s="158"/>
      <c r="U36" s="158"/>
    </row>
    <row r="37" spans="1:21" ht="15.75">
      <c r="A37" s="83">
        <v>5</v>
      </c>
      <c r="B37" s="60" t="s">
        <v>920</v>
      </c>
      <c r="C37" s="158">
        <f t="shared" si="5"/>
        <v>0</v>
      </c>
      <c r="D37" s="158">
        <f t="shared" si="6"/>
        <v>0</v>
      </c>
      <c r="E37" s="158"/>
      <c r="F37" s="158"/>
      <c r="G37" s="158"/>
      <c r="H37" s="158"/>
      <c r="I37" s="158"/>
      <c r="J37" s="158"/>
      <c r="K37" s="158"/>
      <c r="L37" s="158"/>
      <c r="M37" s="158"/>
      <c r="N37" s="158"/>
      <c r="O37" s="158"/>
      <c r="P37" s="158"/>
      <c r="Q37" s="158">
        <f t="shared" si="7"/>
        <v>0</v>
      </c>
      <c r="R37" s="158"/>
      <c r="S37" s="158"/>
      <c r="T37" s="158"/>
      <c r="U37" s="158"/>
    </row>
    <row r="38" spans="1:21" ht="15.75">
      <c r="A38" s="83">
        <v>6</v>
      </c>
      <c r="B38" s="60" t="s">
        <v>921</v>
      </c>
      <c r="C38" s="158">
        <f t="shared" si="5"/>
        <v>0</v>
      </c>
      <c r="D38" s="158">
        <f t="shared" si="6"/>
        <v>0</v>
      </c>
      <c r="E38" s="158"/>
      <c r="F38" s="158"/>
      <c r="G38" s="158"/>
      <c r="H38" s="158"/>
      <c r="I38" s="158"/>
      <c r="J38" s="158"/>
      <c r="K38" s="158"/>
      <c r="L38" s="158"/>
      <c r="M38" s="158"/>
      <c r="N38" s="158"/>
      <c r="O38" s="158"/>
      <c r="P38" s="158"/>
      <c r="Q38" s="158">
        <f t="shared" si="7"/>
        <v>0</v>
      </c>
      <c r="R38" s="158"/>
      <c r="S38" s="158"/>
      <c r="T38" s="158"/>
      <c r="U38" s="158"/>
    </row>
    <row r="39" spans="1:21" ht="15.75">
      <c r="A39" s="83">
        <v>7</v>
      </c>
      <c r="B39" s="60" t="s">
        <v>922</v>
      </c>
      <c r="C39" s="158">
        <f t="shared" si="5"/>
        <v>0</v>
      </c>
      <c r="D39" s="158">
        <f t="shared" si="6"/>
        <v>0</v>
      </c>
      <c r="E39" s="158"/>
      <c r="F39" s="158"/>
      <c r="G39" s="158"/>
      <c r="H39" s="158"/>
      <c r="I39" s="158"/>
      <c r="J39" s="158"/>
      <c r="K39" s="158"/>
      <c r="L39" s="158"/>
      <c r="M39" s="158"/>
      <c r="N39" s="158"/>
      <c r="O39" s="158"/>
      <c r="P39" s="158"/>
      <c r="Q39" s="158">
        <f t="shared" si="7"/>
        <v>0</v>
      </c>
      <c r="R39" s="158"/>
      <c r="S39" s="158"/>
      <c r="T39" s="158"/>
      <c r="U39" s="158"/>
    </row>
    <row r="40" spans="1:21" ht="15.75">
      <c r="A40" s="83">
        <v>8</v>
      </c>
      <c r="B40" s="60" t="s">
        <v>923</v>
      </c>
      <c r="C40" s="158">
        <f t="shared" si="5"/>
        <v>0</v>
      </c>
      <c r="D40" s="158">
        <f t="shared" si="6"/>
        <v>0</v>
      </c>
      <c r="E40" s="158"/>
      <c r="F40" s="158"/>
      <c r="G40" s="158"/>
      <c r="H40" s="158"/>
      <c r="I40" s="158"/>
      <c r="J40" s="158"/>
      <c r="K40" s="158"/>
      <c r="L40" s="158"/>
      <c r="M40" s="158"/>
      <c r="N40" s="158"/>
      <c r="O40" s="158"/>
      <c r="P40" s="158"/>
      <c r="Q40" s="158">
        <f t="shared" si="7"/>
        <v>0</v>
      </c>
      <c r="R40" s="158"/>
      <c r="S40" s="158"/>
      <c r="T40" s="158"/>
      <c r="U40" s="158"/>
    </row>
    <row r="41" spans="1:21" ht="15.75">
      <c r="A41" s="83">
        <v>9</v>
      </c>
      <c r="B41" s="60" t="s">
        <v>924</v>
      </c>
      <c r="C41" s="158">
        <f t="shared" si="5"/>
        <v>0</v>
      </c>
      <c r="D41" s="158">
        <f t="shared" si="6"/>
        <v>0</v>
      </c>
      <c r="E41" s="158"/>
      <c r="F41" s="158"/>
      <c r="G41" s="158"/>
      <c r="H41" s="158"/>
      <c r="I41" s="158"/>
      <c r="J41" s="158"/>
      <c r="K41" s="158"/>
      <c r="L41" s="158"/>
      <c r="M41" s="158"/>
      <c r="N41" s="158"/>
      <c r="O41" s="158"/>
      <c r="P41" s="158"/>
      <c r="Q41" s="158">
        <f t="shared" si="7"/>
        <v>0</v>
      </c>
      <c r="R41" s="158"/>
      <c r="S41" s="158"/>
      <c r="T41" s="158"/>
      <c r="U41" s="158"/>
    </row>
    <row r="42" spans="1:21" ht="15.75">
      <c r="A42" s="83">
        <v>10</v>
      </c>
      <c r="B42" s="60" t="s">
        <v>925</v>
      </c>
      <c r="C42" s="158">
        <f t="shared" si="5"/>
        <v>0</v>
      </c>
      <c r="D42" s="158">
        <f t="shared" si="6"/>
        <v>0</v>
      </c>
      <c r="E42" s="158"/>
      <c r="F42" s="158"/>
      <c r="G42" s="158"/>
      <c r="H42" s="158"/>
      <c r="I42" s="158"/>
      <c r="J42" s="158"/>
      <c r="K42" s="158"/>
      <c r="L42" s="158"/>
      <c r="M42" s="158"/>
      <c r="N42" s="158"/>
      <c r="O42" s="158"/>
      <c r="P42" s="158"/>
      <c r="Q42" s="158">
        <f t="shared" si="7"/>
        <v>0</v>
      </c>
      <c r="R42" s="158"/>
      <c r="S42" s="158"/>
      <c r="T42" s="158"/>
      <c r="U42" s="158"/>
    </row>
    <row r="43" spans="1:21" ht="15.75">
      <c r="A43" s="83">
        <v>11</v>
      </c>
      <c r="B43" s="60" t="s">
        <v>926</v>
      </c>
      <c r="C43" s="158">
        <f t="shared" si="5"/>
        <v>0</v>
      </c>
      <c r="D43" s="158">
        <f t="shared" si="6"/>
        <v>0</v>
      </c>
      <c r="E43" s="158"/>
      <c r="F43" s="158"/>
      <c r="G43" s="158"/>
      <c r="H43" s="158"/>
      <c r="I43" s="158"/>
      <c r="J43" s="158"/>
      <c r="K43" s="158"/>
      <c r="L43" s="158"/>
      <c r="M43" s="158"/>
      <c r="N43" s="158"/>
      <c r="O43" s="158"/>
      <c r="P43" s="158"/>
      <c r="Q43" s="158">
        <f t="shared" si="7"/>
        <v>0</v>
      </c>
      <c r="R43" s="158"/>
      <c r="S43" s="158"/>
      <c r="T43" s="158"/>
      <c r="U43" s="158"/>
    </row>
    <row r="44" spans="1:21" ht="15.75">
      <c r="A44" s="83">
        <v>12</v>
      </c>
      <c r="B44" s="60" t="s">
        <v>927</v>
      </c>
      <c r="C44" s="158">
        <f t="shared" si="5"/>
        <v>0</v>
      </c>
      <c r="D44" s="158">
        <f t="shared" si="6"/>
        <v>0</v>
      </c>
      <c r="E44" s="158"/>
      <c r="F44" s="158"/>
      <c r="G44" s="158"/>
      <c r="H44" s="158"/>
      <c r="I44" s="158"/>
      <c r="J44" s="158"/>
      <c r="K44" s="158"/>
      <c r="L44" s="158"/>
      <c r="M44" s="158"/>
      <c r="N44" s="158"/>
      <c r="O44" s="158"/>
      <c r="P44" s="158"/>
      <c r="Q44" s="158">
        <f t="shared" si="7"/>
        <v>0</v>
      </c>
      <c r="R44" s="158"/>
      <c r="S44" s="158"/>
      <c r="T44" s="158"/>
      <c r="U44" s="158"/>
    </row>
    <row r="45" spans="1:21" ht="15.75">
      <c r="A45" s="83">
        <v>13</v>
      </c>
      <c r="B45" s="60" t="s">
        <v>928</v>
      </c>
      <c r="C45" s="158">
        <f t="shared" si="5"/>
        <v>0</v>
      </c>
      <c r="D45" s="158">
        <f t="shared" si="6"/>
        <v>0</v>
      </c>
      <c r="E45" s="158"/>
      <c r="F45" s="158"/>
      <c r="G45" s="158"/>
      <c r="H45" s="158"/>
      <c r="I45" s="158"/>
      <c r="J45" s="158"/>
      <c r="K45" s="158"/>
      <c r="L45" s="158"/>
      <c r="M45" s="158"/>
      <c r="N45" s="158"/>
      <c r="O45" s="158"/>
      <c r="P45" s="158"/>
      <c r="Q45" s="158">
        <f t="shared" si="7"/>
        <v>0</v>
      </c>
      <c r="R45" s="158"/>
      <c r="S45" s="158"/>
      <c r="T45" s="158"/>
      <c r="U45" s="158"/>
    </row>
    <row r="46" spans="1:21" ht="15.75">
      <c r="A46" s="83">
        <v>14</v>
      </c>
      <c r="B46" s="60" t="s">
        <v>929</v>
      </c>
      <c r="C46" s="158">
        <f t="shared" si="5"/>
        <v>0</v>
      </c>
      <c r="D46" s="158">
        <f t="shared" si="6"/>
        <v>0</v>
      </c>
      <c r="E46" s="158"/>
      <c r="F46" s="158"/>
      <c r="G46" s="158"/>
      <c r="H46" s="158"/>
      <c r="I46" s="158"/>
      <c r="J46" s="158"/>
      <c r="K46" s="158"/>
      <c r="L46" s="158"/>
      <c r="M46" s="158"/>
      <c r="N46" s="158"/>
      <c r="O46" s="158"/>
      <c r="P46" s="158"/>
      <c r="Q46" s="158">
        <f t="shared" si="7"/>
        <v>0</v>
      </c>
      <c r="R46" s="158"/>
      <c r="S46" s="158"/>
      <c r="T46" s="158"/>
      <c r="U46" s="158"/>
    </row>
    <row r="47" spans="1:21" ht="15.75">
      <c r="A47" s="83">
        <v>15</v>
      </c>
      <c r="B47" s="60" t="s">
        <v>930</v>
      </c>
      <c r="C47" s="158">
        <f t="shared" si="5"/>
        <v>0</v>
      </c>
      <c r="D47" s="158">
        <f t="shared" si="6"/>
        <v>0</v>
      </c>
      <c r="E47" s="158"/>
      <c r="F47" s="158"/>
      <c r="G47" s="158"/>
      <c r="H47" s="158"/>
      <c r="I47" s="158"/>
      <c r="J47" s="158"/>
      <c r="K47" s="158"/>
      <c r="L47" s="158"/>
      <c r="M47" s="158"/>
      <c r="N47" s="158"/>
      <c r="O47" s="158"/>
      <c r="P47" s="158"/>
      <c r="Q47" s="158">
        <f t="shared" si="7"/>
        <v>0</v>
      </c>
      <c r="R47" s="158"/>
      <c r="S47" s="158"/>
      <c r="T47" s="158"/>
      <c r="U47" s="158"/>
    </row>
    <row r="48" spans="1:21" ht="15.75">
      <c r="A48" s="81"/>
      <c r="B48" s="92"/>
      <c r="C48" s="159"/>
      <c r="D48" s="159"/>
      <c r="E48" s="159"/>
      <c r="F48" s="159"/>
      <c r="G48" s="159"/>
      <c r="H48" s="159"/>
      <c r="I48" s="159"/>
      <c r="J48" s="159"/>
      <c r="K48" s="159"/>
      <c r="L48" s="159"/>
      <c r="M48" s="159"/>
      <c r="N48" s="159"/>
      <c r="O48" s="159"/>
      <c r="P48" s="159"/>
      <c r="Q48" s="159"/>
      <c r="R48" s="159"/>
      <c r="S48" s="159"/>
      <c r="T48" s="159"/>
      <c r="U48" s="159"/>
    </row>
  </sheetData>
  <customSheetViews>
    <customSheetView guid="{9F606621-8853-4836-9A7E-DBA5CF152671}" showPageBreaks="1" topLeftCell="A4">
      <pane xSplit="2" ySplit="6" topLeftCell="C22" activePane="bottomRight" state="frozen"/>
      <selection pane="bottomRight" activeCell="L22" sqref="L22"/>
      <pageMargins left="0.7" right="0.7" top="0.75" bottom="0.75" header="0.3" footer="0.3"/>
      <pageSetup paperSize="9" orientation="portrait" r:id="rId1"/>
    </customSheetView>
    <customSheetView guid="{DB9039ED-C6EA-422D-9A5D-D152D95EDC67}" scale="75" showPageBreaks="1" zeroValues="0" printArea="1">
      <pane xSplit="2" ySplit="9" topLeftCell="D10" activePane="bottomRight" state="frozen"/>
      <selection pane="bottomRight" activeCell="S12" sqref="S12"/>
      <pageMargins left="0.70866141732283472" right="0.31496062992125984" top="0.74803149606299213" bottom="0.74803149606299213" header="0.31496062992125984" footer="0.31496062992125984"/>
      <printOptions horizontalCentered="1"/>
      <pageSetup paperSize="9" scale="65" orientation="landscape" r:id="rId2"/>
    </customSheetView>
  </customSheetViews>
  <mergeCells count="25">
    <mergeCell ref="A2:U2"/>
    <mergeCell ref="A3:U3"/>
    <mergeCell ref="E7:E8"/>
    <mergeCell ref="F7:G7"/>
    <mergeCell ref="H7:H8"/>
    <mergeCell ref="I7:I8"/>
    <mergeCell ref="J7:J8"/>
    <mergeCell ref="K7:K8"/>
    <mergeCell ref="O6:O8"/>
    <mergeCell ref="P6:P8"/>
    <mergeCell ref="Q6:Q8"/>
    <mergeCell ref="R6:R8"/>
    <mergeCell ref="S6:S8"/>
    <mergeCell ref="T6:T8"/>
    <mergeCell ref="A5:A8"/>
    <mergeCell ref="B5:B8"/>
    <mergeCell ref="C5:C8"/>
    <mergeCell ref="D5:P5"/>
    <mergeCell ref="Q5:T5"/>
    <mergeCell ref="U5:U8"/>
    <mergeCell ref="D6:D8"/>
    <mergeCell ref="E6:J6"/>
    <mergeCell ref="K6:M6"/>
    <mergeCell ref="N6:N8"/>
    <mergeCell ref="L7:M7"/>
  </mergeCells>
  <pageMargins left="0.7" right="0.7" top="0.75" bottom="0.75" header="0.3" footer="0.3"/>
  <pageSetup paperSize="9" orientation="portrait" r:id="rId3"/>
</worksheet>
</file>

<file path=xl/worksheets/sheet43.xml><?xml version="1.0" encoding="utf-8"?>
<worksheet xmlns="http://schemas.openxmlformats.org/spreadsheetml/2006/main" xmlns:r="http://schemas.openxmlformats.org/officeDocument/2006/relationships">
  <sheetPr>
    <tabColor rgb="FFFF0000"/>
  </sheetPr>
  <dimension ref="A1:I24"/>
  <sheetViews>
    <sheetView workbookViewId="0">
      <selection activeCell="D7" sqref="D7"/>
    </sheetView>
  </sheetViews>
  <sheetFormatPr defaultRowHeight="15"/>
  <cols>
    <col min="1" max="1" width="6.85546875" customWidth="1"/>
    <col min="2" max="2" width="27.42578125" customWidth="1"/>
    <col min="3" max="3" width="12.7109375" customWidth="1"/>
    <col min="4" max="6" width="11.7109375" customWidth="1"/>
  </cols>
  <sheetData>
    <row r="1" spans="1:9" ht="15.75">
      <c r="F1" s="26" t="s">
        <v>596</v>
      </c>
      <c r="I1" t="s">
        <v>1322</v>
      </c>
    </row>
    <row r="2" spans="1:9" ht="33.75" customHeight="1">
      <c r="A2" s="781" t="s">
        <v>857</v>
      </c>
      <c r="B2" s="781"/>
      <c r="C2" s="781"/>
      <c r="D2" s="781"/>
      <c r="E2" s="781"/>
      <c r="F2" s="781"/>
    </row>
    <row r="3" spans="1:9" ht="15.75">
      <c r="A3" s="774" t="s">
        <v>826</v>
      </c>
      <c r="B3" s="774"/>
      <c r="C3" s="774"/>
      <c r="D3" s="774"/>
      <c r="E3" s="774"/>
      <c r="F3" s="774"/>
    </row>
    <row r="4" spans="1:9" ht="15.75">
      <c r="F4" s="27" t="s">
        <v>56</v>
      </c>
    </row>
    <row r="5" spans="1:9" ht="132" customHeight="1">
      <c r="A5" s="30" t="s">
        <v>3</v>
      </c>
      <c r="B5" s="30" t="s">
        <v>467</v>
      </c>
      <c r="C5" s="30" t="s">
        <v>130</v>
      </c>
      <c r="D5" s="30" t="s">
        <v>1492</v>
      </c>
      <c r="E5" s="30" t="s">
        <v>643</v>
      </c>
      <c r="F5" s="30" t="s">
        <v>636</v>
      </c>
    </row>
    <row r="6" spans="1:9" s="39" customFormat="1" ht="15.75">
      <c r="A6" s="29" t="s">
        <v>15</v>
      </c>
      <c r="B6" s="29" t="s">
        <v>16</v>
      </c>
      <c r="C6" s="29" t="s">
        <v>644</v>
      </c>
      <c r="D6" s="29">
        <v>2</v>
      </c>
      <c r="E6" s="29">
        <v>3</v>
      </c>
      <c r="F6" s="29">
        <v>4</v>
      </c>
    </row>
    <row r="7" spans="1:9" ht="15.75">
      <c r="A7" s="71"/>
      <c r="B7" s="72" t="s">
        <v>133</v>
      </c>
      <c r="C7" s="167" t="e">
        <f>SUM(C8:C22)</f>
        <v>#REF!</v>
      </c>
      <c r="D7" s="167" t="e">
        <f t="shared" ref="D7:F7" si="0">SUM(D8:D22)</f>
        <v>#REF!</v>
      </c>
      <c r="E7" s="167">
        <f t="shared" si="0"/>
        <v>0</v>
      </c>
      <c r="F7" s="167">
        <f t="shared" si="0"/>
        <v>0</v>
      </c>
    </row>
    <row r="8" spans="1:9" ht="15.75">
      <c r="A8" s="83">
        <v>1</v>
      </c>
      <c r="B8" s="60" t="s">
        <v>831</v>
      </c>
      <c r="C8" s="158" t="e">
        <f>+D8+E8+F8</f>
        <v>#REF!</v>
      </c>
      <c r="D8" s="158" t="e">
        <f>'49-CK NSNN'!#REF!</f>
        <v>#REF!</v>
      </c>
      <c r="E8" s="158"/>
      <c r="F8" s="158"/>
    </row>
    <row r="9" spans="1:9" ht="15.75">
      <c r="A9" s="83">
        <v>2</v>
      </c>
      <c r="B9" s="60" t="s">
        <v>917</v>
      </c>
      <c r="C9" s="158" t="e">
        <f t="shared" ref="C9:C22" si="1">+D9+E9+F9</f>
        <v>#REF!</v>
      </c>
      <c r="D9" s="158" t="e">
        <f>'49-CK NSNN'!#REF!</f>
        <v>#REF!</v>
      </c>
      <c r="E9" s="158"/>
      <c r="F9" s="158"/>
    </row>
    <row r="10" spans="1:9" ht="15.75">
      <c r="A10" s="83">
        <v>3</v>
      </c>
      <c r="B10" s="60" t="s">
        <v>918</v>
      </c>
      <c r="C10" s="158" t="e">
        <f t="shared" si="1"/>
        <v>#REF!</v>
      </c>
      <c r="D10" s="158" t="e">
        <f>'49-CK NSNN'!#REF!</f>
        <v>#REF!</v>
      </c>
      <c r="E10" s="158"/>
      <c r="F10" s="158"/>
    </row>
    <row r="11" spans="1:9" ht="15.75">
      <c r="A11" s="83">
        <v>4</v>
      </c>
      <c r="B11" s="60" t="s">
        <v>919</v>
      </c>
      <c r="C11" s="158" t="e">
        <f t="shared" si="1"/>
        <v>#REF!</v>
      </c>
      <c r="D11" s="158" t="e">
        <f>'49-CK NSNN'!#REF!</f>
        <v>#REF!</v>
      </c>
      <c r="E11" s="158"/>
      <c r="F11" s="158"/>
    </row>
    <row r="12" spans="1:9" ht="15.75">
      <c r="A12" s="83">
        <v>5</v>
      </c>
      <c r="B12" s="60" t="s">
        <v>920</v>
      </c>
      <c r="C12" s="158" t="e">
        <f t="shared" si="1"/>
        <v>#REF!</v>
      </c>
      <c r="D12" s="158" t="e">
        <f>'49-CK NSNN'!#REF!</f>
        <v>#REF!</v>
      </c>
      <c r="E12" s="158"/>
      <c r="F12" s="158"/>
    </row>
    <row r="13" spans="1:9" ht="15.75">
      <c r="A13" s="83">
        <v>6</v>
      </c>
      <c r="B13" s="60" t="s">
        <v>921</v>
      </c>
      <c r="C13" s="158" t="e">
        <f t="shared" si="1"/>
        <v>#REF!</v>
      </c>
      <c r="D13" s="158" t="e">
        <f>'49-CK NSNN'!#REF!</f>
        <v>#REF!</v>
      </c>
      <c r="E13" s="158"/>
      <c r="F13" s="158"/>
    </row>
    <row r="14" spans="1:9" ht="15.75">
      <c r="A14" s="83">
        <v>7</v>
      </c>
      <c r="B14" s="60" t="s">
        <v>922</v>
      </c>
      <c r="C14" s="158" t="e">
        <f t="shared" si="1"/>
        <v>#REF!</v>
      </c>
      <c r="D14" s="158" t="e">
        <f>'49-CK NSNN'!#REF!</f>
        <v>#REF!</v>
      </c>
      <c r="E14" s="158"/>
      <c r="F14" s="158"/>
    </row>
    <row r="15" spans="1:9" ht="15.75">
      <c r="A15" s="83">
        <v>8</v>
      </c>
      <c r="B15" s="60" t="s">
        <v>923</v>
      </c>
      <c r="C15" s="158" t="e">
        <f t="shared" si="1"/>
        <v>#REF!</v>
      </c>
      <c r="D15" s="158" t="e">
        <f>'49-CK NSNN'!#REF!</f>
        <v>#REF!</v>
      </c>
      <c r="E15" s="158"/>
      <c r="F15" s="158"/>
    </row>
    <row r="16" spans="1:9" ht="15.75">
      <c r="A16" s="83">
        <v>9</v>
      </c>
      <c r="B16" s="60" t="s">
        <v>924</v>
      </c>
      <c r="C16" s="158" t="e">
        <f t="shared" si="1"/>
        <v>#REF!</v>
      </c>
      <c r="D16" s="158" t="e">
        <f>'49-CK NSNN'!#REF!</f>
        <v>#REF!</v>
      </c>
      <c r="E16" s="158"/>
      <c r="F16" s="158"/>
    </row>
    <row r="17" spans="1:6" ht="15.75">
      <c r="A17" s="83">
        <v>10</v>
      </c>
      <c r="B17" s="60" t="s">
        <v>925</v>
      </c>
      <c r="C17" s="158" t="e">
        <f t="shared" si="1"/>
        <v>#REF!</v>
      </c>
      <c r="D17" s="158" t="e">
        <f>'49-CK NSNN'!#REF!</f>
        <v>#REF!</v>
      </c>
      <c r="E17" s="158"/>
      <c r="F17" s="158"/>
    </row>
    <row r="18" spans="1:6" ht="15.75">
      <c r="A18" s="83">
        <v>11</v>
      </c>
      <c r="B18" s="60" t="s">
        <v>926</v>
      </c>
      <c r="C18" s="158" t="e">
        <f t="shared" si="1"/>
        <v>#REF!</v>
      </c>
      <c r="D18" s="158" t="e">
        <f>'49-CK NSNN'!#REF!</f>
        <v>#REF!</v>
      </c>
      <c r="E18" s="158"/>
      <c r="F18" s="158"/>
    </row>
    <row r="19" spans="1:6" ht="15.75">
      <c r="A19" s="83">
        <v>12</v>
      </c>
      <c r="B19" s="60" t="s">
        <v>927</v>
      </c>
      <c r="C19" s="158" t="e">
        <f t="shared" si="1"/>
        <v>#REF!</v>
      </c>
      <c r="D19" s="158" t="e">
        <f>'49-CK NSNN'!#REF!</f>
        <v>#REF!</v>
      </c>
      <c r="E19" s="158"/>
      <c r="F19" s="158"/>
    </row>
    <row r="20" spans="1:6" ht="15.75">
      <c r="A20" s="83">
        <v>13</v>
      </c>
      <c r="B20" s="60" t="s">
        <v>928</v>
      </c>
      <c r="C20" s="158" t="e">
        <f t="shared" si="1"/>
        <v>#REF!</v>
      </c>
      <c r="D20" s="158" t="e">
        <f>'49-CK NSNN'!#REF!</f>
        <v>#REF!</v>
      </c>
      <c r="E20" s="158"/>
      <c r="F20" s="158"/>
    </row>
    <row r="21" spans="1:6" ht="15.75">
      <c r="A21" s="83">
        <v>14</v>
      </c>
      <c r="B21" s="60" t="s">
        <v>929</v>
      </c>
      <c r="C21" s="158" t="e">
        <f t="shared" si="1"/>
        <v>#REF!</v>
      </c>
      <c r="D21" s="158" t="e">
        <f>'49-CK NSNN'!#REF!</f>
        <v>#REF!</v>
      </c>
      <c r="E21" s="158"/>
      <c r="F21" s="158"/>
    </row>
    <row r="22" spans="1:6" ht="15.75">
      <c r="A22" s="83">
        <v>15</v>
      </c>
      <c r="B22" s="60" t="s">
        <v>930</v>
      </c>
      <c r="C22" s="158" t="e">
        <f t="shared" si="1"/>
        <v>#REF!</v>
      </c>
      <c r="D22" s="158" t="e">
        <f>'49-CK NSNN'!#REF!</f>
        <v>#REF!</v>
      </c>
      <c r="E22" s="158"/>
      <c r="F22" s="158"/>
    </row>
    <row r="23" spans="1:6" ht="15.75">
      <c r="A23" s="81"/>
      <c r="B23" s="92"/>
      <c r="C23" s="81"/>
      <c r="D23" s="159"/>
      <c r="E23" s="159"/>
      <c r="F23" s="159"/>
    </row>
    <row r="24" spans="1:6" ht="39" customHeight="1">
      <c r="A24" s="819" t="s">
        <v>1493</v>
      </c>
      <c r="B24" s="819"/>
      <c r="C24" s="819"/>
      <c r="D24" s="819"/>
      <c r="E24" s="819"/>
      <c r="F24" s="819"/>
    </row>
  </sheetData>
  <customSheetViews>
    <customSheetView guid="{9F606621-8853-4836-9A7E-DBA5CF152671}">
      <selection activeCell="D7" sqref="D7"/>
      <pageMargins left="0.7" right="0.7" top="0.75" bottom="0.75" header="0.3" footer="0.3"/>
    </customSheetView>
    <customSheetView guid="{DB9039ED-C6EA-422D-9A5D-D152D95EDC67}" showPageBreaks="1">
      <selection activeCell="A24" sqref="A24:F24"/>
      <pageMargins left="0.7" right="0.7" top="0.75" bottom="0.75" header="0.3" footer="0.3"/>
      <pageSetup orientation="portrait" r:id="rId1"/>
    </customSheetView>
  </customSheetViews>
  <mergeCells count="3">
    <mergeCell ref="A2:F2"/>
    <mergeCell ref="A3:F3"/>
    <mergeCell ref="A24:F24"/>
  </mergeCells>
  <pageMargins left="0.7" right="0.7" top="0.75" bottom="0.75" header="0.3" footer="0.3"/>
</worksheet>
</file>

<file path=xl/worksheets/sheet44.xml><?xml version="1.0" encoding="utf-8"?>
<worksheet xmlns="http://schemas.openxmlformats.org/spreadsheetml/2006/main" xmlns:r="http://schemas.openxmlformats.org/officeDocument/2006/relationships">
  <sheetPr>
    <tabColor rgb="FF92D050"/>
  </sheetPr>
  <dimension ref="A1:N25"/>
  <sheetViews>
    <sheetView workbookViewId="0">
      <selection activeCell="A2" sqref="A2:L2"/>
    </sheetView>
  </sheetViews>
  <sheetFormatPr defaultRowHeight="15"/>
  <cols>
    <col min="1" max="1" width="6.7109375" customWidth="1"/>
    <col min="2" max="2" width="23.140625" customWidth="1"/>
  </cols>
  <sheetData>
    <row r="1" spans="1:14" ht="15.75">
      <c r="L1" s="26" t="s">
        <v>597</v>
      </c>
      <c r="N1" t="s">
        <v>1323</v>
      </c>
    </row>
    <row r="2" spans="1:14" ht="36.75" customHeight="1">
      <c r="A2" s="781" t="s">
        <v>858</v>
      </c>
      <c r="B2" s="781"/>
      <c r="C2" s="781"/>
      <c r="D2" s="781"/>
      <c r="E2" s="781"/>
      <c r="F2" s="781"/>
      <c r="G2" s="781"/>
      <c r="H2" s="781"/>
      <c r="I2" s="781"/>
      <c r="J2" s="781"/>
      <c r="K2" s="781"/>
      <c r="L2" s="781"/>
    </row>
    <row r="3" spans="1:14">
      <c r="A3" s="781" t="s">
        <v>826</v>
      </c>
      <c r="B3" s="820"/>
      <c r="C3" s="820"/>
      <c r="D3" s="820"/>
      <c r="E3" s="820"/>
      <c r="F3" s="820"/>
      <c r="G3" s="820"/>
      <c r="H3" s="820"/>
      <c r="I3" s="820"/>
      <c r="J3" s="820"/>
      <c r="K3" s="820"/>
      <c r="L3" s="820"/>
    </row>
    <row r="4" spans="1:14" ht="15.75">
      <c r="L4" s="27" t="s">
        <v>56</v>
      </c>
    </row>
    <row r="5" spans="1:14" ht="30" customHeight="1">
      <c r="A5" s="773" t="s">
        <v>3</v>
      </c>
      <c r="B5" s="773" t="s">
        <v>467</v>
      </c>
      <c r="C5" s="773" t="s">
        <v>130</v>
      </c>
      <c r="D5" s="773"/>
      <c r="E5" s="773"/>
      <c r="F5" s="773" t="s">
        <v>645</v>
      </c>
      <c r="G5" s="773"/>
      <c r="H5" s="773"/>
      <c r="I5" s="773" t="s">
        <v>645</v>
      </c>
      <c r="J5" s="773"/>
      <c r="K5" s="773"/>
      <c r="L5" s="773" t="s">
        <v>575</v>
      </c>
    </row>
    <row r="6" spans="1:14" ht="59.25" customHeight="1">
      <c r="A6" s="773"/>
      <c r="B6" s="773"/>
      <c r="C6" s="30" t="s">
        <v>130</v>
      </c>
      <c r="D6" s="30" t="s">
        <v>135</v>
      </c>
      <c r="E6" s="30" t="s">
        <v>611</v>
      </c>
      <c r="F6" s="30" t="s">
        <v>130</v>
      </c>
      <c r="G6" s="30" t="s">
        <v>135</v>
      </c>
      <c r="H6" s="30" t="s">
        <v>611</v>
      </c>
      <c r="I6" s="30" t="s">
        <v>130</v>
      </c>
      <c r="J6" s="30" t="s">
        <v>135</v>
      </c>
      <c r="K6" s="30" t="s">
        <v>611</v>
      </c>
      <c r="L6" s="773"/>
    </row>
    <row r="7" spans="1:14" s="101" customFormat="1" ht="15.75">
      <c r="A7" s="54" t="s">
        <v>15</v>
      </c>
      <c r="B7" s="54" t="s">
        <v>16</v>
      </c>
      <c r="C7" s="54" t="s">
        <v>494</v>
      </c>
      <c r="D7" s="54">
        <v>2</v>
      </c>
      <c r="E7" s="54">
        <v>3</v>
      </c>
      <c r="F7" s="54" t="s">
        <v>495</v>
      </c>
      <c r="G7" s="54">
        <v>5</v>
      </c>
      <c r="H7" s="54">
        <v>6</v>
      </c>
      <c r="I7" s="54" t="s">
        <v>646</v>
      </c>
      <c r="J7" s="54">
        <v>8</v>
      </c>
      <c r="K7" s="54">
        <v>9</v>
      </c>
      <c r="L7" s="54">
        <v>10</v>
      </c>
    </row>
    <row r="8" spans="1:14" ht="15.75">
      <c r="A8" s="73"/>
      <c r="B8" s="72" t="s">
        <v>133</v>
      </c>
      <c r="C8" s="73"/>
      <c r="D8" s="73"/>
      <c r="E8" s="73"/>
      <c r="F8" s="73"/>
      <c r="G8" s="73"/>
      <c r="H8" s="73"/>
      <c r="I8" s="73"/>
      <c r="J8" s="73"/>
      <c r="K8" s="73"/>
      <c r="L8" s="73"/>
    </row>
    <row r="9" spans="1:14" ht="15.75">
      <c r="A9" s="83">
        <v>1</v>
      </c>
      <c r="B9" s="60" t="s">
        <v>831</v>
      </c>
      <c r="C9" s="76"/>
      <c r="D9" s="76"/>
      <c r="E9" s="76"/>
      <c r="F9" s="76"/>
      <c r="G9" s="76"/>
      <c r="H9" s="76"/>
      <c r="I9" s="76"/>
      <c r="J9" s="76"/>
      <c r="K9" s="76"/>
      <c r="L9" s="76"/>
    </row>
    <row r="10" spans="1:14" ht="15.75">
      <c r="A10" s="83">
        <v>2</v>
      </c>
      <c r="B10" s="60" t="s">
        <v>917</v>
      </c>
      <c r="C10" s="76"/>
      <c r="D10" s="76"/>
      <c r="E10" s="76"/>
      <c r="F10" s="76"/>
      <c r="G10" s="76"/>
      <c r="H10" s="76"/>
      <c r="I10" s="76"/>
      <c r="J10" s="76"/>
      <c r="K10" s="76"/>
      <c r="L10" s="76"/>
    </row>
    <row r="11" spans="1:14" ht="15.75">
      <c r="A11" s="83">
        <v>3</v>
      </c>
      <c r="B11" s="60" t="s">
        <v>918</v>
      </c>
      <c r="C11" s="76"/>
      <c r="D11" s="76"/>
      <c r="E11" s="76"/>
      <c r="F11" s="76"/>
      <c r="G11" s="76"/>
      <c r="H11" s="76"/>
      <c r="I11" s="76"/>
      <c r="J11" s="76"/>
      <c r="K11" s="76"/>
      <c r="L11" s="76"/>
    </row>
    <row r="12" spans="1:14" ht="15.75">
      <c r="A12" s="83">
        <v>4</v>
      </c>
      <c r="B12" s="60" t="s">
        <v>919</v>
      </c>
      <c r="C12" s="76"/>
      <c r="D12" s="76"/>
      <c r="E12" s="76"/>
      <c r="F12" s="76"/>
      <c r="G12" s="76"/>
      <c r="H12" s="76"/>
      <c r="I12" s="76"/>
      <c r="J12" s="76"/>
      <c r="K12" s="76"/>
      <c r="L12" s="76"/>
    </row>
    <row r="13" spans="1:14" ht="15.75">
      <c r="A13" s="83">
        <v>5</v>
      </c>
      <c r="B13" s="60" t="s">
        <v>920</v>
      </c>
      <c r="C13" s="76"/>
      <c r="D13" s="76"/>
      <c r="E13" s="76"/>
      <c r="F13" s="76"/>
      <c r="G13" s="76"/>
      <c r="H13" s="76"/>
      <c r="I13" s="76"/>
      <c r="J13" s="76"/>
      <c r="K13" s="76"/>
      <c r="L13" s="76"/>
    </row>
    <row r="14" spans="1:14" ht="15.75">
      <c r="A14" s="83">
        <v>6</v>
      </c>
      <c r="B14" s="60" t="s">
        <v>921</v>
      </c>
      <c r="C14" s="76"/>
      <c r="D14" s="76"/>
      <c r="E14" s="76"/>
      <c r="F14" s="76"/>
      <c r="G14" s="76"/>
      <c r="H14" s="76"/>
      <c r="I14" s="76"/>
      <c r="J14" s="76"/>
      <c r="K14" s="76"/>
      <c r="L14" s="76"/>
    </row>
    <row r="15" spans="1:14" ht="15.75">
      <c r="A15" s="83">
        <v>7</v>
      </c>
      <c r="B15" s="60" t="s">
        <v>922</v>
      </c>
      <c r="C15" s="76"/>
      <c r="D15" s="76"/>
      <c r="E15" s="76"/>
      <c r="F15" s="76"/>
      <c r="G15" s="76"/>
      <c r="H15" s="76"/>
      <c r="I15" s="76"/>
      <c r="J15" s="76"/>
      <c r="K15" s="76"/>
      <c r="L15" s="76"/>
    </row>
    <row r="16" spans="1:14" ht="15.75">
      <c r="A16" s="83">
        <v>8</v>
      </c>
      <c r="B16" s="60" t="s">
        <v>923</v>
      </c>
      <c r="C16" s="76"/>
      <c r="D16" s="76"/>
      <c r="E16" s="76"/>
      <c r="F16" s="76"/>
      <c r="G16" s="76"/>
      <c r="H16" s="76"/>
      <c r="I16" s="76"/>
      <c r="J16" s="76"/>
      <c r="K16" s="76"/>
      <c r="L16" s="76"/>
    </row>
    <row r="17" spans="1:12" ht="15.75">
      <c r="A17" s="83">
        <v>9</v>
      </c>
      <c r="B17" s="60" t="s">
        <v>924</v>
      </c>
      <c r="C17" s="76"/>
      <c r="D17" s="76"/>
      <c r="E17" s="76"/>
      <c r="F17" s="76"/>
      <c r="G17" s="76"/>
      <c r="H17" s="76"/>
      <c r="I17" s="76"/>
      <c r="J17" s="76"/>
      <c r="K17" s="76"/>
      <c r="L17" s="76"/>
    </row>
    <row r="18" spans="1:12" ht="15.75">
      <c r="A18" s="83">
        <v>10</v>
      </c>
      <c r="B18" s="60" t="s">
        <v>925</v>
      </c>
      <c r="C18" s="76"/>
      <c r="D18" s="76"/>
      <c r="E18" s="76"/>
      <c r="F18" s="76"/>
      <c r="G18" s="76"/>
      <c r="H18" s="76"/>
      <c r="I18" s="76"/>
      <c r="J18" s="76"/>
      <c r="K18" s="76"/>
      <c r="L18" s="76"/>
    </row>
    <row r="19" spans="1:12" ht="15.75">
      <c r="A19" s="83">
        <v>11</v>
      </c>
      <c r="B19" s="60" t="s">
        <v>926</v>
      </c>
      <c r="C19" s="76"/>
      <c r="D19" s="76"/>
      <c r="E19" s="76"/>
      <c r="F19" s="76"/>
      <c r="G19" s="76"/>
      <c r="H19" s="76"/>
      <c r="I19" s="76"/>
      <c r="J19" s="76"/>
      <c r="K19" s="76"/>
      <c r="L19" s="76"/>
    </row>
    <row r="20" spans="1:12" ht="15.75">
      <c r="A20" s="83">
        <v>12</v>
      </c>
      <c r="B20" s="60" t="s">
        <v>927</v>
      </c>
      <c r="C20" s="76"/>
      <c r="D20" s="76"/>
      <c r="E20" s="76"/>
      <c r="F20" s="76"/>
      <c r="G20" s="76"/>
      <c r="H20" s="76"/>
      <c r="I20" s="76"/>
      <c r="J20" s="76"/>
      <c r="K20" s="76"/>
      <c r="L20" s="76"/>
    </row>
    <row r="21" spans="1:12" ht="15.75">
      <c r="A21" s="83">
        <v>13</v>
      </c>
      <c r="B21" s="60" t="s">
        <v>928</v>
      </c>
      <c r="C21" s="76"/>
      <c r="D21" s="76"/>
      <c r="E21" s="76"/>
      <c r="F21" s="76"/>
      <c r="G21" s="76"/>
      <c r="H21" s="76"/>
      <c r="I21" s="76"/>
      <c r="J21" s="76"/>
      <c r="K21" s="76"/>
      <c r="L21" s="76"/>
    </row>
    <row r="22" spans="1:12" ht="15.75">
      <c r="A22" s="83">
        <v>14</v>
      </c>
      <c r="B22" s="60" t="s">
        <v>929</v>
      </c>
      <c r="C22" s="76"/>
      <c r="D22" s="76"/>
      <c r="E22" s="76"/>
      <c r="F22" s="76"/>
      <c r="G22" s="76"/>
      <c r="H22" s="76"/>
      <c r="I22" s="76"/>
      <c r="J22" s="76"/>
      <c r="K22" s="76"/>
      <c r="L22" s="76"/>
    </row>
    <row r="23" spans="1:12" ht="15.75">
      <c r="A23" s="83">
        <v>15</v>
      </c>
      <c r="B23" s="60" t="s">
        <v>930</v>
      </c>
      <c r="C23" s="76"/>
      <c r="D23" s="76"/>
      <c r="E23" s="76"/>
      <c r="F23" s="76"/>
      <c r="G23" s="76"/>
      <c r="H23" s="76"/>
      <c r="I23" s="76"/>
      <c r="J23" s="76"/>
      <c r="K23" s="76"/>
      <c r="L23" s="76"/>
    </row>
    <row r="24" spans="1:12" ht="15.75">
      <c r="A24" s="81"/>
      <c r="B24" s="92"/>
      <c r="C24" s="81"/>
      <c r="D24" s="81"/>
      <c r="E24" s="81"/>
      <c r="F24" s="81"/>
      <c r="G24" s="81"/>
      <c r="H24" s="81"/>
      <c r="I24" s="81"/>
      <c r="J24" s="81"/>
      <c r="K24" s="81"/>
      <c r="L24" s="81"/>
    </row>
    <row r="25" spans="1:12" ht="42.75" customHeight="1">
      <c r="A25" s="776" t="s">
        <v>647</v>
      </c>
      <c r="B25" s="776"/>
      <c r="C25" s="776"/>
      <c r="D25" s="776"/>
      <c r="E25" s="776"/>
      <c r="F25" s="776"/>
      <c r="G25" s="776"/>
      <c r="H25" s="776"/>
      <c r="I25" s="776"/>
      <c r="J25" s="776"/>
      <c r="K25" s="776"/>
      <c r="L25" s="776"/>
    </row>
  </sheetData>
  <customSheetViews>
    <customSheetView guid="{9F606621-8853-4836-9A7E-DBA5CF152671}">
      <selection activeCell="A2" sqref="A2:L2"/>
      <pageMargins left="0.7" right="0.7" top="0.75" bottom="0.75" header="0.3" footer="0.3"/>
    </customSheetView>
    <customSheetView guid="{DB9039ED-C6EA-422D-9A5D-D152D95EDC67}">
      <selection activeCell="G12" sqref="G12"/>
      <pageMargins left="0.7" right="0.7" top="0.75" bottom="0.75" header="0.3" footer="0.3"/>
    </customSheetView>
  </customSheetViews>
  <mergeCells count="9">
    <mergeCell ref="A2:L2"/>
    <mergeCell ref="A3:L3"/>
    <mergeCell ref="A25:L25"/>
    <mergeCell ref="A5:A6"/>
    <mergeCell ref="B5:B6"/>
    <mergeCell ref="C5:E5"/>
    <mergeCell ref="F5:H5"/>
    <mergeCell ref="I5:K5"/>
    <mergeCell ref="L5:L6"/>
  </mergeCells>
  <pageMargins left="0.7" right="0.7" top="0.75" bottom="0.75" header="0.3" footer="0.3"/>
</worksheet>
</file>

<file path=xl/worksheets/sheet45.xml><?xml version="1.0" encoding="utf-8"?>
<worksheet xmlns="http://schemas.openxmlformats.org/spreadsheetml/2006/main" xmlns:r="http://schemas.openxmlformats.org/officeDocument/2006/relationships">
  <sheetPr>
    <tabColor rgb="FF92D050"/>
  </sheetPr>
  <dimension ref="A1:N27"/>
  <sheetViews>
    <sheetView workbookViewId="0"/>
  </sheetViews>
  <sheetFormatPr defaultRowHeight="15"/>
  <cols>
    <col min="1" max="1" width="6.140625" customWidth="1"/>
    <col min="2" max="2" width="26.140625" customWidth="1"/>
  </cols>
  <sheetData>
    <row r="1" spans="1:14" ht="15.75">
      <c r="L1" s="26" t="s">
        <v>598</v>
      </c>
      <c r="N1" t="s">
        <v>1324</v>
      </c>
    </row>
    <row r="2" spans="1:14" ht="15.75">
      <c r="A2" s="781" t="s">
        <v>859</v>
      </c>
      <c r="B2" s="781"/>
      <c r="C2" s="781"/>
      <c r="D2" s="781"/>
      <c r="E2" s="781"/>
      <c r="F2" s="781"/>
      <c r="G2" s="781"/>
      <c r="H2" s="781"/>
      <c r="I2" s="781"/>
      <c r="J2" s="781"/>
      <c r="K2" s="781"/>
      <c r="L2" s="781"/>
    </row>
    <row r="3" spans="1:14" ht="15.75">
      <c r="A3" s="781" t="s">
        <v>860</v>
      </c>
      <c r="B3" s="781"/>
      <c r="C3" s="781"/>
      <c r="D3" s="781"/>
      <c r="E3" s="781"/>
      <c r="F3" s="781"/>
      <c r="G3" s="781"/>
      <c r="H3" s="781"/>
      <c r="I3" s="781"/>
      <c r="J3" s="781"/>
      <c r="K3" s="781"/>
      <c r="L3" s="781"/>
    </row>
    <row r="4" spans="1:14">
      <c r="A4" s="781" t="s">
        <v>458</v>
      </c>
      <c r="B4" s="820"/>
      <c r="C4" s="820"/>
      <c r="D4" s="820"/>
      <c r="E4" s="820"/>
      <c r="F4" s="820"/>
      <c r="G4" s="820"/>
      <c r="H4" s="820"/>
      <c r="I4" s="820"/>
      <c r="J4" s="820"/>
      <c r="K4" s="820"/>
      <c r="L4" s="820"/>
    </row>
    <row r="5" spans="1:14" ht="15.75">
      <c r="L5" s="27" t="s">
        <v>56</v>
      </c>
    </row>
    <row r="6" spans="1:14" ht="15.75">
      <c r="A6" s="773" t="s">
        <v>3</v>
      </c>
      <c r="B6" s="773" t="s">
        <v>467</v>
      </c>
      <c r="C6" s="773" t="s">
        <v>130</v>
      </c>
      <c r="D6" s="773"/>
      <c r="E6" s="773"/>
      <c r="F6" s="773" t="s">
        <v>648</v>
      </c>
      <c r="G6" s="773"/>
      <c r="H6" s="773"/>
      <c r="I6" s="773" t="s">
        <v>648</v>
      </c>
      <c r="J6" s="773"/>
      <c r="K6" s="773"/>
      <c r="L6" s="773" t="s">
        <v>575</v>
      </c>
    </row>
    <row r="7" spans="1:14" ht="63.75" customHeight="1">
      <c r="A7" s="773"/>
      <c r="B7" s="773"/>
      <c r="C7" s="30" t="s">
        <v>130</v>
      </c>
      <c r="D7" s="30" t="s">
        <v>135</v>
      </c>
      <c r="E7" s="30" t="s">
        <v>611</v>
      </c>
      <c r="F7" s="30" t="s">
        <v>130</v>
      </c>
      <c r="G7" s="30" t="s">
        <v>135</v>
      </c>
      <c r="H7" s="30" t="s">
        <v>611</v>
      </c>
      <c r="I7" s="30" t="s">
        <v>130</v>
      </c>
      <c r="J7" s="30" t="s">
        <v>135</v>
      </c>
      <c r="K7" s="30" t="s">
        <v>611</v>
      </c>
      <c r="L7" s="773"/>
    </row>
    <row r="8" spans="1:14" ht="15.75">
      <c r="A8" s="30" t="s">
        <v>15</v>
      </c>
      <c r="B8" s="30" t="s">
        <v>16</v>
      </c>
      <c r="C8" s="30" t="s">
        <v>494</v>
      </c>
      <c r="D8" s="30">
        <v>2</v>
      </c>
      <c r="E8" s="30">
        <v>3</v>
      </c>
      <c r="F8" s="30" t="s">
        <v>495</v>
      </c>
      <c r="G8" s="30">
        <v>5</v>
      </c>
      <c r="H8" s="30">
        <v>6</v>
      </c>
      <c r="I8" s="30" t="s">
        <v>646</v>
      </c>
      <c r="J8" s="30">
        <v>8</v>
      </c>
      <c r="K8" s="30">
        <v>9</v>
      </c>
      <c r="L8" s="30">
        <v>10</v>
      </c>
    </row>
    <row r="9" spans="1:14" ht="15.75">
      <c r="A9" s="73"/>
      <c r="B9" s="72" t="s">
        <v>133</v>
      </c>
      <c r="C9" s="73"/>
      <c r="D9" s="73"/>
      <c r="E9" s="73"/>
      <c r="F9" s="73"/>
      <c r="G9" s="73"/>
      <c r="H9" s="73"/>
      <c r="I9" s="73"/>
      <c r="J9" s="73"/>
      <c r="K9" s="73"/>
      <c r="L9" s="73"/>
    </row>
    <row r="10" spans="1:14" ht="15.75">
      <c r="A10" s="83">
        <v>1</v>
      </c>
      <c r="B10" s="60" t="s">
        <v>831</v>
      </c>
      <c r="C10" s="76"/>
      <c r="D10" s="76"/>
      <c r="E10" s="76"/>
      <c r="F10" s="76"/>
      <c r="G10" s="76"/>
      <c r="H10" s="76"/>
      <c r="I10" s="76"/>
      <c r="J10" s="76"/>
      <c r="K10" s="76"/>
      <c r="L10" s="76"/>
    </row>
    <row r="11" spans="1:14" ht="15.75">
      <c r="A11" s="83">
        <v>2</v>
      </c>
      <c r="B11" s="60" t="s">
        <v>917</v>
      </c>
      <c r="C11" s="76"/>
      <c r="D11" s="76"/>
      <c r="E11" s="76"/>
      <c r="F11" s="76"/>
      <c r="G11" s="76"/>
      <c r="H11" s="76"/>
      <c r="I11" s="76"/>
      <c r="J11" s="76"/>
      <c r="K11" s="76"/>
      <c r="L11" s="76"/>
    </row>
    <row r="12" spans="1:14" ht="15.75">
      <c r="A12" s="83">
        <v>3</v>
      </c>
      <c r="B12" s="60" t="s">
        <v>918</v>
      </c>
      <c r="C12" s="76"/>
      <c r="D12" s="76"/>
      <c r="E12" s="76"/>
      <c r="F12" s="76"/>
      <c r="G12" s="76"/>
      <c r="H12" s="76"/>
      <c r="I12" s="76"/>
      <c r="J12" s="76"/>
      <c r="K12" s="76"/>
      <c r="L12" s="76"/>
    </row>
    <row r="13" spans="1:14" ht="15.75">
      <c r="A13" s="83">
        <v>4</v>
      </c>
      <c r="B13" s="60" t="s">
        <v>919</v>
      </c>
      <c r="C13" s="76"/>
      <c r="D13" s="76"/>
      <c r="E13" s="76"/>
      <c r="F13" s="76"/>
      <c r="G13" s="76"/>
      <c r="H13" s="76"/>
      <c r="I13" s="76"/>
      <c r="J13" s="76"/>
      <c r="K13" s="76"/>
      <c r="L13" s="76"/>
    </row>
    <row r="14" spans="1:14" ht="15.75">
      <c r="A14" s="83">
        <v>5</v>
      </c>
      <c r="B14" s="60" t="s">
        <v>920</v>
      </c>
      <c r="C14" s="76"/>
      <c r="D14" s="76"/>
      <c r="E14" s="76"/>
      <c r="F14" s="76"/>
      <c r="G14" s="76"/>
      <c r="H14" s="76"/>
      <c r="I14" s="76"/>
      <c r="J14" s="76"/>
      <c r="K14" s="76"/>
      <c r="L14" s="76"/>
    </row>
    <row r="15" spans="1:14" ht="15.75">
      <c r="A15" s="83">
        <v>6</v>
      </c>
      <c r="B15" s="60" t="s">
        <v>921</v>
      </c>
      <c r="C15" s="76"/>
      <c r="D15" s="76"/>
      <c r="E15" s="76"/>
      <c r="F15" s="76"/>
      <c r="G15" s="76"/>
      <c r="H15" s="76"/>
      <c r="I15" s="76"/>
      <c r="J15" s="76"/>
      <c r="K15" s="76"/>
      <c r="L15" s="76"/>
    </row>
    <row r="16" spans="1:14" ht="15.75">
      <c r="A16" s="83">
        <v>7</v>
      </c>
      <c r="B16" s="60" t="s">
        <v>922</v>
      </c>
      <c r="C16" s="76"/>
      <c r="D16" s="76"/>
      <c r="E16" s="76"/>
      <c r="F16" s="76"/>
      <c r="G16" s="76"/>
      <c r="H16" s="76"/>
      <c r="I16" s="76"/>
      <c r="J16" s="76"/>
      <c r="K16" s="76"/>
      <c r="L16" s="76"/>
    </row>
    <row r="17" spans="1:12" ht="15.75">
      <c r="A17" s="83">
        <v>8</v>
      </c>
      <c r="B17" s="60" t="s">
        <v>923</v>
      </c>
      <c r="C17" s="76"/>
      <c r="D17" s="76"/>
      <c r="E17" s="76"/>
      <c r="F17" s="76"/>
      <c r="G17" s="76"/>
      <c r="H17" s="76"/>
      <c r="I17" s="76"/>
      <c r="J17" s="76"/>
      <c r="K17" s="76"/>
      <c r="L17" s="76"/>
    </row>
    <row r="18" spans="1:12" ht="15.75">
      <c r="A18" s="83">
        <v>9</v>
      </c>
      <c r="B18" s="60" t="s">
        <v>924</v>
      </c>
      <c r="C18" s="76"/>
      <c r="D18" s="76"/>
      <c r="E18" s="76"/>
      <c r="F18" s="76"/>
      <c r="G18" s="76"/>
      <c r="H18" s="76"/>
      <c r="I18" s="76"/>
      <c r="J18" s="76"/>
      <c r="K18" s="76"/>
      <c r="L18" s="76"/>
    </row>
    <row r="19" spans="1:12" ht="15.75">
      <c r="A19" s="83">
        <v>10</v>
      </c>
      <c r="B19" s="60" t="s">
        <v>925</v>
      </c>
      <c r="C19" s="76"/>
      <c r="D19" s="76"/>
      <c r="E19" s="76"/>
      <c r="F19" s="76"/>
      <c r="G19" s="76"/>
      <c r="H19" s="76"/>
      <c r="I19" s="76"/>
      <c r="J19" s="76"/>
      <c r="K19" s="76"/>
      <c r="L19" s="76"/>
    </row>
    <row r="20" spans="1:12" ht="15.75">
      <c r="A20" s="83">
        <v>11</v>
      </c>
      <c r="B20" s="60" t="s">
        <v>926</v>
      </c>
      <c r="C20" s="76"/>
      <c r="D20" s="76"/>
      <c r="E20" s="76"/>
      <c r="F20" s="76"/>
      <c r="G20" s="76"/>
      <c r="H20" s="76"/>
      <c r="I20" s="76"/>
      <c r="J20" s="76"/>
      <c r="K20" s="76"/>
      <c r="L20" s="76"/>
    </row>
    <row r="21" spans="1:12" ht="15.75">
      <c r="A21" s="83">
        <v>12</v>
      </c>
      <c r="B21" s="60" t="s">
        <v>927</v>
      </c>
      <c r="C21" s="76"/>
      <c r="D21" s="76"/>
      <c r="E21" s="76"/>
      <c r="F21" s="76"/>
      <c r="G21" s="76"/>
      <c r="H21" s="76"/>
      <c r="I21" s="76"/>
      <c r="J21" s="76"/>
      <c r="K21" s="76"/>
      <c r="L21" s="76"/>
    </row>
    <row r="22" spans="1:12" ht="15.75">
      <c r="A22" s="83">
        <v>13</v>
      </c>
      <c r="B22" s="60" t="s">
        <v>928</v>
      </c>
      <c r="C22" s="76"/>
      <c r="D22" s="76"/>
      <c r="E22" s="76"/>
      <c r="F22" s="76"/>
      <c r="G22" s="76"/>
      <c r="H22" s="76"/>
      <c r="I22" s="76"/>
      <c r="J22" s="76"/>
      <c r="K22" s="76"/>
      <c r="L22" s="76"/>
    </row>
    <row r="23" spans="1:12" ht="15.75">
      <c r="A23" s="83">
        <v>14</v>
      </c>
      <c r="B23" s="60" t="s">
        <v>929</v>
      </c>
      <c r="C23" s="76"/>
      <c r="D23" s="76"/>
      <c r="E23" s="76"/>
      <c r="F23" s="76"/>
      <c r="G23" s="76"/>
      <c r="H23" s="76"/>
      <c r="I23" s="76"/>
      <c r="J23" s="76"/>
      <c r="K23" s="76"/>
      <c r="L23" s="76"/>
    </row>
    <row r="24" spans="1:12" ht="15.75">
      <c r="A24" s="83">
        <v>15</v>
      </c>
      <c r="B24" s="60" t="s">
        <v>930</v>
      </c>
      <c r="C24" s="76"/>
      <c r="D24" s="76"/>
      <c r="E24" s="76"/>
      <c r="F24" s="76"/>
      <c r="G24" s="76"/>
      <c r="H24" s="76"/>
      <c r="I24" s="76"/>
      <c r="J24" s="76"/>
      <c r="K24" s="76"/>
      <c r="L24" s="76"/>
    </row>
    <row r="25" spans="1:12" ht="15.75">
      <c r="A25" s="81"/>
      <c r="B25" s="92"/>
      <c r="C25" s="81"/>
      <c r="D25" s="81"/>
      <c r="E25" s="81"/>
      <c r="F25" s="81"/>
      <c r="G25" s="81"/>
      <c r="H25" s="81"/>
      <c r="I25" s="81"/>
      <c r="J25" s="81"/>
      <c r="K25" s="81"/>
      <c r="L25" s="81"/>
    </row>
    <row r="26" spans="1:12" ht="39.75" customHeight="1">
      <c r="A26" s="821" t="s">
        <v>649</v>
      </c>
      <c r="B26" s="821"/>
      <c r="C26" s="821"/>
      <c r="D26" s="821"/>
      <c r="E26" s="821"/>
      <c r="F26" s="821"/>
      <c r="G26" s="821"/>
      <c r="H26" s="821"/>
      <c r="I26" s="821"/>
      <c r="J26" s="821"/>
      <c r="K26" s="821"/>
      <c r="L26" s="821"/>
    </row>
    <row r="27" spans="1:12" ht="15.75">
      <c r="A27" s="36"/>
    </row>
  </sheetData>
  <customSheetViews>
    <customSheetView guid="{9F606621-8853-4836-9A7E-DBA5CF152671}">
      <pageMargins left="0.7" right="0.7" top="0.75" bottom="0.75" header="0.3" footer="0.3"/>
    </customSheetView>
    <customSheetView guid="{DB9039ED-C6EA-422D-9A5D-D152D95EDC67}">
      <pageMargins left="0.7" right="0.7" top="0.75" bottom="0.75" header="0.3" footer="0.3"/>
    </customSheetView>
  </customSheetViews>
  <mergeCells count="10">
    <mergeCell ref="A2:L2"/>
    <mergeCell ref="A3:L3"/>
    <mergeCell ref="A4:L4"/>
    <mergeCell ref="A26:L26"/>
    <mergeCell ref="A6:A7"/>
    <mergeCell ref="B6:B7"/>
    <mergeCell ref="C6:E6"/>
    <mergeCell ref="F6:H6"/>
    <mergeCell ref="I6:K6"/>
    <mergeCell ref="L6:L7"/>
  </mergeCells>
  <pageMargins left="0.7" right="0.7" top="0.75" bottom="0.75" header="0.3" footer="0.3"/>
</worksheet>
</file>

<file path=xl/worksheets/sheet46.xml><?xml version="1.0" encoding="utf-8"?>
<worksheet xmlns="http://schemas.openxmlformats.org/spreadsheetml/2006/main" xmlns:r="http://schemas.openxmlformats.org/officeDocument/2006/relationships">
  <sheetPr>
    <tabColor rgb="FF7030A0"/>
  </sheetPr>
  <dimension ref="A1:M20"/>
  <sheetViews>
    <sheetView workbookViewId="0">
      <selection activeCell="D10" sqref="D10"/>
    </sheetView>
  </sheetViews>
  <sheetFormatPr defaultRowHeight="15"/>
  <cols>
    <col min="1" max="1" width="6.140625" customWidth="1"/>
    <col min="2" max="2" width="14.7109375" customWidth="1"/>
    <col min="3" max="7" width="10.28515625" customWidth="1"/>
    <col min="8" max="8" width="11.7109375" customWidth="1"/>
    <col min="9" max="12" width="10.28515625" customWidth="1"/>
    <col min="13" max="13" width="11.28515625" customWidth="1"/>
  </cols>
  <sheetData>
    <row r="1" spans="1:13" ht="15.75">
      <c r="M1" s="26" t="s">
        <v>599</v>
      </c>
    </row>
    <row r="2" spans="1:13" ht="24" customHeight="1">
      <c r="A2" s="781" t="s">
        <v>861</v>
      </c>
      <c r="B2" s="781"/>
      <c r="C2" s="781"/>
      <c r="D2" s="781"/>
      <c r="E2" s="781"/>
      <c r="F2" s="781"/>
      <c r="G2" s="781"/>
      <c r="H2" s="781"/>
      <c r="I2" s="781"/>
      <c r="J2" s="781"/>
      <c r="K2" s="781"/>
      <c r="L2" s="781"/>
      <c r="M2" s="781"/>
    </row>
    <row r="3" spans="1:13" ht="15.75">
      <c r="A3" s="774" t="s">
        <v>126</v>
      </c>
      <c r="B3" s="774"/>
      <c r="C3" s="774"/>
      <c r="D3" s="774"/>
      <c r="E3" s="774"/>
      <c r="F3" s="774"/>
      <c r="G3" s="774"/>
      <c r="H3" s="774"/>
      <c r="I3" s="774"/>
      <c r="J3" s="774"/>
      <c r="K3" s="774"/>
      <c r="L3" s="774"/>
      <c r="M3" s="774"/>
    </row>
    <row r="4" spans="1:13" ht="15.75">
      <c r="M4" s="27" t="s">
        <v>56</v>
      </c>
    </row>
    <row r="5" spans="1:13" ht="15.75">
      <c r="A5" s="773" t="s">
        <v>3</v>
      </c>
      <c r="B5" s="773" t="s">
        <v>546</v>
      </c>
      <c r="C5" s="773" t="s">
        <v>862</v>
      </c>
      <c r="D5" s="773" t="s">
        <v>797</v>
      </c>
      <c r="E5" s="773"/>
      <c r="F5" s="773"/>
      <c r="G5" s="773"/>
      <c r="H5" s="773" t="s">
        <v>863</v>
      </c>
      <c r="I5" s="773" t="s">
        <v>864</v>
      </c>
      <c r="J5" s="773"/>
      <c r="K5" s="773"/>
      <c r="L5" s="773"/>
      <c r="M5" s="773" t="s">
        <v>865</v>
      </c>
    </row>
    <row r="6" spans="1:13" ht="47.25" customHeight="1">
      <c r="A6" s="773"/>
      <c r="B6" s="773"/>
      <c r="C6" s="773"/>
      <c r="D6" s="773" t="s">
        <v>548</v>
      </c>
      <c r="E6" s="773"/>
      <c r="F6" s="773" t="s">
        <v>549</v>
      </c>
      <c r="G6" s="773" t="s">
        <v>550</v>
      </c>
      <c r="H6" s="773"/>
      <c r="I6" s="773" t="s">
        <v>548</v>
      </c>
      <c r="J6" s="773"/>
      <c r="K6" s="773" t="s">
        <v>549</v>
      </c>
      <c r="L6" s="773" t="s">
        <v>550</v>
      </c>
      <c r="M6" s="773"/>
    </row>
    <row r="7" spans="1:13" ht="63">
      <c r="A7" s="773"/>
      <c r="B7" s="773"/>
      <c r="C7" s="773"/>
      <c r="D7" s="30" t="s">
        <v>130</v>
      </c>
      <c r="E7" s="30" t="s">
        <v>551</v>
      </c>
      <c r="F7" s="773"/>
      <c r="G7" s="773"/>
      <c r="H7" s="773"/>
      <c r="I7" s="30" t="s">
        <v>130</v>
      </c>
      <c r="J7" s="30" t="s">
        <v>650</v>
      </c>
      <c r="K7" s="773"/>
      <c r="L7" s="773"/>
      <c r="M7" s="773"/>
    </row>
    <row r="8" spans="1:13" ht="15.75">
      <c r="A8" s="30" t="s">
        <v>15</v>
      </c>
      <c r="B8" s="30" t="s">
        <v>16</v>
      </c>
      <c r="C8" s="30">
        <v>1</v>
      </c>
      <c r="D8" s="30">
        <v>2</v>
      </c>
      <c r="E8" s="30">
        <v>3</v>
      </c>
      <c r="F8" s="30">
        <v>4</v>
      </c>
      <c r="G8" s="30" t="s">
        <v>651</v>
      </c>
      <c r="H8" s="30" t="s">
        <v>652</v>
      </c>
      <c r="I8" s="30">
        <v>7</v>
      </c>
      <c r="J8" s="30">
        <v>8</v>
      </c>
      <c r="K8" s="30">
        <v>9</v>
      </c>
      <c r="L8" s="30" t="s">
        <v>653</v>
      </c>
      <c r="M8" s="30" t="s">
        <v>654</v>
      </c>
    </row>
    <row r="9" spans="1:13" ht="15.75">
      <c r="A9" s="73">
        <v>1</v>
      </c>
      <c r="B9" s="91" t="s">
        <v>555</v>
      </c>
      <c r="C9" s="102"/>
      <c r="D9" s="102"/>
      <c r="E9" s="102"/>
      <c r="F9" s="102"/>
      <c r="G9" s="102"/>
      <c r="H9" s="102"/>
      <c r="I9" s="102"/>
      <c r="J9" s="102"/>
      <c r="K9" s="102"/>
      <c r="L9" s="102"/>
      <c r="M9" s="102"/>
    </row>
    <row r="10" spans="1:13" ht="15.75">
      <c r="A10" s="76">
        <v>2</v>
      </c>
      <c r="B10" s="77" t="s">
        <v>556</v>
      </c>
      <c r="C10" s="103"/>
      <c r="D10" s="103"/>
      <c r="E10" s="103"/>
      <c r="F10" s="103"/>
      <c r="G10" s="103"/>
      <c r="H10" s="103"/>
      <c r="I10" s="103"/>
      <c r="J10" s="103"/>
      <c r="K10" s="103"/>
      <c r="L10" s="103"/>
      <c r="M10" s="103"/>
    </row>
    <row r="11" spans="1:13" ht="15.75">
      <c r="A11" s="76">
        <v>3</v>
      </c>
      <c r="B11" s="77" t="s">
        <v>557</v>
      </c>
      <c r="C11" s="103"/>
      <c r="D11" s="103"/>
      <c r="E11" s="103"/>
      <c r="F11" s="103"/>
      <c r="G11" s="103"/>
      <c r="H11" s="103"/>
      <c r="I11" s="103"/>
      <c r="J11" s="103"/>
      <c r="K11" s="103"/>
      <c r="L11" s="103"/>
      <c r="M11" s="103"/>
    </row>
    <row r="12" spans="1:13" ht="15.75">
      <c r="A12" s="76">
        <v>4</v>
      </c>
      <c r="B12" s="77" t="s">
        <v>474</v>
      </c>
      <c r="C12" s="103"/>
      <c r="D12" s="103"/>
      <c r="E12" s="103"/>
      <c r="F12" s="103"/>
      <c r="G12" s="103"/>
      <c r="H12" s="103"/>
      <c r="I12" s="103"/>
      <c r="J12" s="103"/>
      <c r="K12" s="103"/>
      <c r="L12" s="103"/>
      <c r="M12" s="103"/>
    </row>
    <row r="13" spans="1:13" ht="15.75">
      <c r="A13" s="76">
        <v>5</v>
      </c>
      <c r="B13" s="95"/>
      <c r="C13" s="103"/>
      <c r="D13" s="103"/>
      <c r="E13" s="103"/>
      <c r="F13" s="103"/>
      <c r="G13" s="103"/>
      <c r="H13" s="103"/>
      <c r="I13" s="103"/>
      <c r="J13" s="103"/>
      <c r="K13" s="103"/>
      <c r="L13" s="103"/>
      <c r="M13" s="103"/>
    </row>
    <row r="14" spans="1:13" ht="15.75">
      <c r="A14" s="76">
        <v>6</v>
      </c>
      <c r="B14" s="95"/>
      <c r="C14" s="103"/>
      <c r="D14" s="103"/>
      <c r="E14" s="103"/>
      <c r="F14" s="103"/>
      <c r="G14" s="103"/>
      <c r="H14" s="103"/>
      <c r="I14" s="103"/>
      <c r="J14" s="103"/>
      <c r="K14" s="103"/>
      <c r="L14" s="103"/>
      <c r="M14" s="103"/>
    </row>
    <row r="15" spans="1:13" ht="15.75">
      <c r="A15" s="76">
        <v>7</v>
      </c>
      <c r="B15" s="95"/>
      <c r="C15" s="103"/>
      <c r="D15" s="103"/>
      <c r="E15" s="103"/>
      <c r="F15" s="103"/>
      <c r="G15" s="103"/>
      <c r="H15" s="103"/>
      <c r="I15" s="103"/>
      <c r="J15" s="103"/>
      <c r="K15" s="103"/>
      <c r="L15" s="103"/>
      <c r="M15" s="103"/>
    </row>
    <row r="16" spans="1:13" ht="15.75">
      <c r="A16" s="76">
        <v>8</v>
      </c>
      <c r="B16" s="95"/>
      <c r="C16" s="103"/>
      <c r="D16" s="103"/>
      <c r="E16" s="103"/>
      <c r="F16" s="103"/>
      <c r="G16" s="103"/>
      <c r="H16" s="103"/>
      <c r="I16" s="103"/>
      <c r="J16" s="103"/>
      <c r="K16" s="103"/>
      <c r="L16" s="103"/>
      <c r="M16" s="103"/>
    </row>
    <row r="17" spans="1:13" ht="15.75">
      <c r="A17" s="76">
        <v>9</v>
      </c>
      <c r="B17" s="95"/>
      <c r="C17" s="103"/>
      <c r="D17" s="103"/>
      <c r="E17" s="103"/>
      <c r="F17" s="103"/>
      <c r="G17" s="103"/>
      <c r="H17" s="103"/>
      <c r="I17" s="103"/>
      <c r="J17" s="103"/>
      <c r="K17" s="103"/>
      <c r="L17" s="103"/>
      <c r="M17" s="103"/>
    </row>
    <row r="18" spans="1:13" ht="15.75">
      <c r="A18" s="76">
        <v>10</v>
      </c>
      <c r="B18" s="95"/>
      <c r="C18" s="103"/>
      <c r="D18" s="103"/>
      <c r="E18" s="103"/>
      <c r="F18" s="103"/>
      <c r="G18" s="103"/>
      <c r="H18" s="103"/>
      <c r="I18" s="103"/>
      <c r="J18" s="103"/>
      <c r="K18" s="103"/>
      <c r="L18" s="103"/>
      <c r="M18" s="103"/>
    </row>
    <row r="19" spans="1:13" ht="15.75">
      <c r="A19" s="76">
        <v>11</v>
      </c>
      <c r="B19" s="95"/>
      <c r="C19" s="103"/>
      <c r="D19" s="103"/>
      <c r="E19" s="103"/>
      <c r="F19" s="103"/>
      <c r="G19" s="103"/>
      <c r="H19" s="103"/>
      <c r="I19" s="103"/>
      <c r="J19" s="103"/>
      <c r="K19" s="103"/>
      <c r="L19" s="103"/>
      <c r="M19" s="103"/>
    </row>
    <row r="20" spans="1:13" ht="15.75">
      <c r="A20" s="81">
        <v>15</v>
      </c>
      <c r="B20" s="96"/>
      <c r="C20" s="104"/>
      <c r="D20" s="104"/>
      <c r="E20" s="104"/>
      <c r="F20" s="104"/>
      <c r="G20" s="104"/>
      <c r="H20" s="104"/>
      <c r="I20" s="104"/>
      <c r="J20" s="104"/>
      <c r="K20" s="104"/>
      <c r="L20" s="104"/>
      <c r="M20" s="104"/>
    </row>
  </sheetData>
  <customSheetViews>
    <customSheetView guid="{9F606621-8853-4836-9A7E-DBA5CF152671}">
      <selection activeCell="D10" sqref="D10"/>
      <pageMargins left="0.7" right="0.7" top="0.75" bottom="0.75" header="0.3" footer="0.3"/>
    </customSheetView>
    <customSheetView guid="{DB9039ED-C6EA-422D-9A5D-D152D95EDC67}">
      <selection activeCell="D10" sqref="D10"/>
      <pageMargins left="0.7" right="0.7" top="0.75" bottom="0.75" header="0.3" footer="0.3"/>
    </customSheetView>
  </customSheetViews>
  <mergeCells count="15">
    <mergeCell ref="A2:M2"/>
    <mergeCell ref="A3:M3"/>
    <mergeCell ref="M5:M7"/>
    <mergeCell ref="D6:E6"/>
    <mergeCell ref="F6:F7"/>
    <mergeCell ref="G6:G7"/>
    <mergeCell ref="I6:J6"/>
    <mergeCell ref="K6:K7"/>
    <mergeCell ref="L6:L7"/>
    <mergeCell ref="A5:A7"/>
    <mergeCell ref="B5:B7"/>
    <mergeCell ref="C5:C7"/>
    <mergeCell ref="D5:G5"/>
    <mergeCell ref="H5:H7"/>
    <mergeCell ref="I5:L5"/>
  </mergeCells>
  <pageMargins left="0.7" right="0.7" top="0.75" bottom="0.75" header="0.3" footer="0.3"/>
</worksheet>
</file>

<file path=xl/worksheets/sheet47.xml><?xml version="1.0" encoding="utf-8"?>
<worksheet xmlns="http://schemas.openxmlformats.org/spreadsheetml/2006/main" xmlns:r="http://schemas.openxmlformats.org/officeDocument/2006/relationships">
  <sheetPr>
    <tabColor rgb="FF002060"/>
  </sheetPr>
  <dimension ref="A1:V28"/>
  <sheetViews>
    <sheetView workbookViewId="0"/>
  </sheetViews>
  <sheetFormatPr defaultRowHeight="15"/>
  <cols>
    <col min="1" max="1" width="6.42578125" customWidth="1"/>
    <col min="2" max="2" width="27.140625" customWidth="1"/>
  </cols>
  <sheetData>
    <row r="1" spans="1:22" ht="15.75">
      <c r="V1" s="26" t="s">
        <v>600</v>
      </c>
    </row>
    <row r="2" spans="1:22" ht="15.75">
      <c r="A2" s="774" t="s">
        <v>866</v>
      </c>
      <c r="B2" s="774"/>
      <c r="C2" s="774"/>
      <c r="D2" s="774"/>
      <c r="E2" s="774"/>
      <c r="F2" s="774"/>
      <c r="G2" s="774"/>
      <c r="H2" s="774"/>
      <c r="I2" s="774"/>
      <c r="J2" s="774"/>
      <c r="K2" s="774"/>
      <c r="L2" s="774"/>
      <c r="M2" s="774"/>
      <c r="N2" s="774"/>
      <c r="O2" s="774"/>
      <c r="P2" s="774"/>
      <c r="Q2" s="774"/>
      <c r="R2" s="774"/>
      <c r="S2" s="774"/>
      <c r="T2" s="774"/>
      <c r="U2" s="774"/>
      <c r="V2" s="774"/>
    </row>
    <row r="3" spans="1:22" ht="15.75">
      <c r="A3" s="774" t="s">
        <v>126</v>
      </c>
      <c r="B3" s="774"/>
      <c r="C3" s="774"/>
      <c r="D3" s="774"/>
      <c r="E3" s="774"/>
      <c r="F3" s="774"/>
      <c r="G3" s="774"/>
      <c r="H3" s="774"/>
      <c r="I3" s="774"/>
      <c r="J3" s="774"/>
      <c r="K3" s="774"/>
      <c r="L3" s="774"/>
      <c r="M3" s="774"/>
      <c r="N3" s="774"/>
      <c r="O3" s="774"/>
      <c r="P3" s="774"/>
      <c r="Q3" s="774"/>
      <c r="R3" s="774"/>
      <c r="S3" s="774"/>
      <c r="T3" s="774"/>
      <c r="U3" s="774"/>
      <c r="V3" s="774"/>
    </row>
    <row r="4" spans="1:22" ht="15.75">
      <c r="V4" s="27" t="s">
        <v>56</v>
      </c>
    </row>
    <row r="5" spans="1:22" ht="15.75">
      <c r="A5" s="773" t="s">
        <v>3</v>
      </c>
      <c r="B5" s="773" t="s">
        <v>180</v>
      </c>
      <c r="C5" s="773" t="s">
        <v>181</v>
      </c>
      <c r="D5" s="773" t="s">
        <v>182</v>
      </c>
      <c r="E5" s="773" t="s">
        <v>183</v>
      </c>
      <c r="F5" s="773" t="s">
        <v>184</v>
      </c>
      <c r="G5" s="773"/>
      <c r="H5" s="773"/>
      <c r="I5" s="773"/>
      <c r="J5" s="773"/>
      <c r="K5" s="773" t="s">
        <v>867</v>
      </c>
      <c r="L5" s="773"/>
      <c r="M5" s="773"/>
      <c r="N5" s="773"/>
      <c r="O5" s="773" t="s">
        <v>868</v>
      </c>
      <c r="P5" s="773"/>
      <c r="Q5" s="773"/>
      <c r="R5" s="773"/>
      <c r="S5" s="773" t="s">
        <v>869</v>
      </c>
      <c r="T5" s="773"/>
      <c r="U5" s="773"/>
      <c r="V5" s="773"/>
    </row>
    <row r="6" spans="1:22" ht="30" customHeight="1">
      <c r="A6" s="773"/>
      <c r="B6" s="773"/>
      <c r="C6" s="773"/>
      <c r="D6" s="773"/>
      <c r="E6" s="773"/>
      <c r="F6" s="773" t="s">
        <v>210</v>
      </c>
      <c r="G6" s="773" t="s">
        <v>657</v>
      </c>
      <c r="H6" s="773"/>
      <c r="I6" s="773"/>
      <c r="J6" s="773"/>
      <c r="K6" s="773"/>
      <c r="L6" s="773"/>
      <c r="M6" s="773"/>
      <c r="N6" s="773"/>
      <c r="O6" s="773"/>
      <c r="P6" s="773"/>
      <c r="Q6" s="773"/>
      <c r="R6" s="773"/>
      <c r="S6" s="773"/>
      <c r="T6" s="773"/>
      <c r="U6" s="773"/>
      <c r="V6" s="773"/>
    </row>
    <row r="7" spans="1:22" ht="15.75">
      <c r="A7" s="773"/>
      <c r="B7" s="773"/>
      <c r="C7" s="773"/>
      <c r="D7" s="773"/>
      <c r="E7" s="773"/>
      <c r="F7" s="773"/>
      <c r="G7" s="773" t="s">
        <v>189</v>
      </c>
      <c r="H7" s="773" t="s">
        <v>658</v>
      </c>
      <c r="I7" s="773"/>
      <c r="J7" s="773"/>
      <c r="K7" s="773" t="s">
        <v>130</v>
      </c>
      <c r="L7" s="773" t="s">
        <v>658</v>
      </c>
      <c r="M7" s="773"/>
      <c r="N7" s="773"/>
      <c r="O7" s="773" t="s">
        <v>130</v>
      </c>
      <c r="P7" s="773" t="s">
        <v>658</v>
      </c>
      <c r="Q7" s="773"/>
      <c r="R7" s="773"/>
      <c r="S7" s="773" t="s">
        <v>130</v>
      </c>
      <c r="T7" s="773" t="s">
        <v>658</v>
      </c>
      <c r="U7" s="773"/>
      <c r="V7" s="773"/>
    </row>
    <row r="8" spans="1:22" ht="63">
      <c r="A8" s="773"/>
      <c r="B8" s="773"/>
      <c r="C8" s="773"/>
      <c r="D8" s="773"/>
      <c r="E8" s="773"/>
      <c r="F8" s="773"/>
      <c r="G8" s="773"/>
      <c r="H8" s="30" t="s">
        <v>659</v>
      </c>
      <c r="I8" s="30" t="s">
        <v>217</v>
      </c>
      <c r="J8" s="30" t="s">
        <v>150</v>
      </c>
      <c r="K8" s="773"/>
      <c r="L8" s="30" t="s">
        <v>659</v>
      </c>
      <c r="M8" s="30" t="s">
        <v>217</v>
      </c>
      <c r="N8" s="30" t="s">
        <v>150</v>
      </c>
      <c r="O8" s="773"/>
      <c r="P8" s="30" t="s">
        <v>659</v>
      </c>
      <c r="Q8" s="30" t="s">
        <v>217</v>
      </c>
      <c r="R8" s="30" t="s">
        <v>150</v>
      </c>
      <c r="S8" s="773"/>
      <c r="T8" s="30" t="s">
        <v>659</v>
      </c>
      <c r="U8" s="30" t="s">
        <v>217</v>
      </c>
      <c r="V8" s="30" t="s">
        <v>150</v>
      </c>
    </row>
    <row r="9" spans="1:22" ht="15.75">
      <c r="A9" s="30" t="s">
        <v>15</v>
      </c>
      <c r="B9" s="30" t="s">
        <v>16</v>
      </c>
      <c r="C9" s="30">
        <v>1</v>
      </c>
      <c r="D9" s="30">
        <v>2</v>
      </c>
      <c r="E9" s="30">
        <v>3</v>
      </c>
      <c r="F9" s="30">
        <v>4</v>
      </c>
      <c r="G9" s="30">
        <v>5</v>
      </c>
      <c r="H9" s="30">
        <v>6</v>
      </c>
      <c r="I9" s="30">
        <v>7</v>
      </c>
      <c r="J9" s="30">
        <v>8</v>
      </c>
      <c r="K9" s="30">
        <v>9</v>
      </c>
      <c r="L9" s="30">
        <v>10</v>
      </c>
      <c r="M9" s="30">
        <v>11</v>
      </c>
      <c r="N9" s="30">
        <v>12</v>
      </c>
      <c r="O9" s="30">
        <v>13</v>
      </c>
      <c r="P9" s="30">
        <v>14</v>
      </c>
      <c r="Q9" s="30">
        <v>15</v>
      </c>
      <c r="R9" s="30">
        <v>16</v>
      </c>
      <c r="S9" s="30">
        <v>17</v>
      </c>
      <c r="T9" s="30">
        <v>18</v>
      </c>
      <c r="U9" s="30">
        <v>19</v>
      </c>
      <c r="V9" s="30">
        <v>20</v>
      </c>
    </row>
    <row r="10" spans="1:22" ht="15.75">
      <c r="A10" s="71"/>
      <c r="B10" s="71" t="s">
        <v>130</v>
      </c>
      <c r="C10" s="71"/>
      <c r="D10" s="71"/>
      <c r="E10" s="71"/>
      <c r="F10" s="71"/>
      <c r="G10" s="73"/>
      <c r="H10" s="73"/>
      <c r="I10" s="73"/>
      <c r="J10" s="73"/>
      <c r="K10" s="73"/>
      <c r="L10" s="73"/>
      <c r="M10" s="73"/>
      <c r="N10" s="73"/>
      <c r="O10" s="73"/>
      <c r="P10" s="73"/>
      <c r="Q10" s="73"/>
      <c r="R10" s="73"/>
      <c r="S10" s="73"/>
      <c r="T10" s="73"/>
      <c r="U10" s="73"/>
      <c r="V10" s="73"/>
    </row>
    <row r="11" spans="1:22" ht="15.75">
      <c r="A11" s="74" t="s">
        <v>15</v>
      </c>
      <c r="B11" s="822" t="s">
        <v>219</v>
      </c>
      <c r="C11" s="822"/>
      <c r="D11" s="822"/>
      <c r="E11" s="822"/>
      <c r="F11" s="822"/>
      <c r="G11" s="76"/>
      <c r="H11" s="76"/>
      <c r="I11" s="76"/>
      <c r="J11" s="76"/>
      <c r="K11" s="76"/>
      <c r="L11" s="76"/>
      <c r="M11" s="76"/>
      <c r="N11" s="76"/>
      <c r="O11" s="76"/>
      <c r="P11" s="76"/>
      <c r="Q11" s="76"/>
      <c r="R11" s="76"/>
      <c r="S11" s="76"/>
      <c r="T11" s="76"/>
      <c r="U11" s="76"/>
      <c r="V11" s="76"/>
    </row>
    <row r="12" spans="1:22" ht="15.75">
      <c r="A12" s="74" t="s">
        <v>83</v>
      </c>
      <c r="B12" s="822" t="s">
        <v>220</v>
      </c>
      <c r="C12" s="822"/>
      <c r="D12" s="822"/>
      <c r="E12" s="822"/>
      <c r="F12" s="76"/>
      <c r="G12" s="76"/>
      <c r="H12" s="76"/>
      <c r="I12" s="76"/>
      <c r="J12" s="76"/>
      <c r="K12" s="76"/>
      <c r="L12" s="76"/>
      <c r="M12" s="76"/>
      <c r="N12" s="76"/>
      <c r="O12" s="76"/>
      <c r="P12" s="76"/>
      <c r="Q12" s="76"/>
      <c r="R12" s="76"/>
      <c r="S12" s="76"/>
      <c r="T12" s="76"/>
      <c r="U12" s="76"/>
      <c r="V12" s="76"/>
    </row>
    <row r="13" spans="1:22" ht="15.75">
      <c r="A13" s="74">
        <v>1</v>
      </c>
      <c r="B13" s="75" t="s">
        <v>193</v>
      </c>
      <c r="C13" s="76"/>
      <c r="D13" s="76"/>
      <c r="E13" s="76"/>
      <c r="F13" s="76"/>
      <c r="G13" s="76"/>
      <c r="H13" s="76"/>
      <c r="I13" s="76"/>
      <c r="J13" s="76"/>
      <c r="K13" s="76"/>
      <c r="L13" s="76"/>
      <c r="M13" s="76"/>
      <c r="N13" s="76"/>
      <c r="O13" s="76"/>
      <c r="P13" s="76"/>
      <c r="Q13" s="76"/>
      <c r="R13" s="76"/>
      <c r="S13" s="76"/>
      <c r="T13" s="76"/>
      <c r="U13" s="76"/>
      <c r="V13" s="76"/>
    </row>
    <row r="14" spans="1:22" ht="15.75">
      <c r="A14" s="76" t="s">
        <v>22</v>
      </c>
      <c r="B14" s="77" t="s">
        <v>194</v>
      </c>
      <c r="C14" s="76"/>
      <c r="D14" s="76"/>
      <c r="E14" s="76"/>
      <c r="F14" s="76"/>
      <c r="G14" s="76"/>
      <c r="H14" s="76"/>
      <c r="I14" s="76"/>
      <c r="J14" s="76"/>
      <c r="K14" s="76"/>
      <c r="L14" s="76"/>
      <c r="M14" s="76"/>
      <c r="N14" s="76"/>
      <c r="O14" s="76"/>
      <c r="P14" s="76"/>
      <c r="Q14" s="76"/>
      <c r="R14" s="76"/>
      <c r="S14" s="76"/>
      <c r="T14" s="76"/>
      <c r="U14" s="77"/>
      <c r="V14" s="77"/>
    </row>
    <row r="15" spans="1:22" ht="15.75">
      <c r="A15" s="76" t="s">
        <v>22</v>
      </c>
      <c r="B15" s="77" t="s">
        <v>201</v>
      </c>
      <c r="C15" s="76"/>
      <c r="D15" s="76"/>
      <c r="E15" s="76"/>
      <c r="F15" s="76"/>
      <c r="G15" s="76"/>
      <c r="H15" s="76"/>
      <c r="I15" s="76"/>
      <c r="J15" s="76"/>
      <c r="K15" s="76"/>
      <c r="L15" s="76"/>
      <c r="M15" s="76"/>
      <c r="N15" s="76"/>
      <c r="O15" s="76"/>
      <c r="P15" s="76"/>
      <c r="Q15" s="76"/>
      <c r="R15" s="76"/>
      <c r="S15" s="76"/>
      <c r="T15" s="76"/>
      <c r="U15" s="77"/>
      <c r="V15" s="77"/>
    </row>
    <row r="16" spans="1:22" ht="15.75">
      <c r="A16" s="74">
        <v>2</v>
      </c>
      <c r="B16" s="75" t="s">
        <v>195</v>
      </c>
      <c r="C16" s="76"/>
      <c r="D16" s="76"/>
      <c r="E16" s="76"/>
      <c r="F16" s="76"/>
      <c r="G16" s="76"/>
      <c r="H16" s="76"/>
      <c r="I16" s="76"/>
      <c r="J16" s="76"/>
      <c r="K16" s="76"/>
      <c r="L16" s="76"/>
      <c r="M16" s="76"/>
      <c r="N16" s="76"/>
      <c r="O16" s="76"/>
      <c r="P16" s="76"/>
      <c r="Q16" s="76"/>
      <c r="R16" s="76"/>
      <c r="S16" s="76"/>
      <c r="T16" s="76"/>
      <c r="U16" s="77"/>
      <c r="V16" s="77"/>
    </row>
    <row r="17" spans="1:22" ht="15.75">
      <c r="A17" s="74" t="s">
        <v>144</v>
      </c>
      <c r="B17" s="822" t="s">
        <v>222</v>
      </c>
      <c r="C17" s="822"/>
      <c r="D17" s="822"/>
      <c r="E17" s="822"/>
      <c r="F17" s="822"/>
      <c r="G17" s="822"/>
      <c r="H17" s="822"/>
      <c r="I17" s="76"/>
      <c r="J17" s="76"/>
      <c r="K17" s="76"/>
      <c r="L17" s="76"/>
      <c r="M17" s="76"/>
      <c r="N17" s="76"/>
      <c r="O17" s="76"/>
      <c r="P17" s="76"/>
      <c r="Q17" s="76"/>
      <c r="R17" s="76"/>
      <c r="S17" s="76"/>
      <c r="T17" s="76"/>
      <c r="U17" s="77"/>
      <c r="V17" s="77"/>
    </row>
    <row r="18" spans="1:22" ht="15.75">
      <c r="A18" s="76" t="s">
        <v>22</v>
      </c>
      <c r="B18" s="77" t="s">
        <v>197</v>
      </c>
      <c r="C18" s="76"/>
      <c r="D18" s="76"/>
      <c r="E18" s="76"/>
      <c r="F18" s="76"/>
      <c r="G18" s="76"/>
      <c r="H18" s="76"/>
      <c r="I18" s="76"/>
      <c r="J18" s="76"/>
      <c r="K18" s="76"/>
      <c r="L18" s="76"/>
      <c r="M18" s="76"/>
      <c r="N18" s="76"/>
      <c r="O18" s="76"/>
      <c r="P18" s="76"/>
      <c r="Q18" s="76"/>
      <c r="R18" s="76"/>
      <c r="S18" s="76"/>
      <c r="T18" s="76"/>
      <c r="U18" s="77"/>
      <c r="V18" s="77"/>
    </row>
    <row r="19" spans="1:22" ht="15.75">
      <c r="A19" s="76" t="s">
        <v>22</v>
      </c>
      <c r="B19" s="77" t="s">
        <v>173</v>
      </c>
      <c r="C19" s="76"/>
      <c r="D19" s="76"/>
      <c r="E19" s="76"/>
      <c r="F19" s="76"/>
      <c r="G19" s="76"/>
      <c r="H19" s="76"/>
      <c r="I19" s="76"/>
      <c r="J19" s="76"/>
      <c r="K19" s="76"/>
      <c r="L19" s="76"/>
      <c r="M19" s="76"/>
      <c r="N19" s="76"/>
      <c r="O19" s="76"/>
      <c r="P19" s="76"/>
      <c r="Q19" s="76"/>
      <c r="R19" s="76"/>
      <c r="S19" s="76"/>
      <c r="T19" s="76"/>
      <c r="U19" s="77"/>
      <c r="V19" s="77"/>
    </row>
    <row r="20" spans="1:22" ht="15.75">
      <c r="A20" s="74" t="s">
        <v>146</v>
      </c>
      <c r="B20" s="822" t="s">
        <v>199</v>
      </c>
      <c r="C20" s="822"/>
      <c r="D20" s="822"/>
      <c r="E20" s="822"/>
      <c r="F20" s="822"/>
      <c r="G20" s="822"/>
      <c r="H20" s="76"/>
      <c r="I20" s="76"/>
      <c r="J20" s="76"/>
      <c r="K20" s="76"/>
      <c r="L20" s="76"/>
      <c r="M20" s="76"/>
      <c r="N20" s="76"/>
      <c r="O20" s="76"/>
      <c r="P20" s="76"/>
      <c r="Q20" s="76"/>
      <c r="R20" s="76"/>
      <c r="S20" s="76"/>
      <c r="T20" s="76"/>
      <c r="U20" s="77"/>
      <c r="V20" s="77"/>
    </row>
    <row r="21" spans="1:22" ht="15.75">
      <c r="A21" s="76" t="s">
        <v>22</v>
      </c>
      <c r="B21" s="77" t="s">
        <v>200</v>
      </c>
      <c r="C21" s="76"/>
      <c r="D21" s="76"/>
      <c r="E21" s="76"/>
      <c r="F21" s="76"/>
      <c r="G21" s="76"/>
      <c r="H21" s="76"/>
      <c r="I21" s="76"/>
      <c r="J21" s="76"/>
      <c r="K21" s="76"/>
      <c r="L21" s="76"/>
      <c r="M21" s="76"/>
      <c r="N21" s="76"/>
      <c r="O21" s="76"/>
      <c r="P21" s="76"/>
      <c r="Q21" s="76"/>
      <c r="R21" s="76"/>
      <c r="S21" s="76"/>
      <c r="T21" s="76"/>
      <c r="U21" s="77"/>
      <c r="V21" s="77"/>
    </row>
    <row r="22" spans="1:22" ht="15.75">
      <c r="A22" s="76" t="s">
        <v>22</v>
      </c>
      <c r="B22" s="77" t="s">
        <v>223</v>
      </c>
      <c r="C22" s="76"/>
      <c r="D22" s="76"/>
      <c r="E22" s="76"/>
      <c r="F22" s="76"/>
      <c r="G22" s="76"/>
      <c r="H22" s="76"/>
      <c r="I22" s="76"/>
      <c r="J22" s="76"/>
      <c r="K22" s="76"/>
      <c r="L22" s="76"/>
      <c r="M22" s="76"/>
      <c r="N22" s="76"/>
      <c r="O22" s="76"/>
      <c r="P22" s="76"/>
      <c r="Q22" s="76"/>
      <c r="R22" s="76"/>
      <c r="S22" s="76"/>
      <c r="T22" s="76"/>
      <c r="U22" s="77"/>
      <c r="V22" s="77"/>
    </row>
    <row r="23" spans="1:22" ht="15.75">
      <c r="A23" s="74" t="s">
        <v>70</v>
      </c>
      <c r="B23" s="822" t="s">
        <v>220</v>
      </c>
      <c r="C23" s="822"/>
      <c r="D23" s="822"/>
      <c r="E23" s="822"/>
      <c r="F23" s="76"/>
      <c r="G23" s="76"/>
      <c r="H23" s="76"/>
      <c r="I23" s="76"/>
      <c r="J23" s="76"/>
      <c r="K23" s="76"/>
      <c r="L23" s="76"/>
      <c r="M23" s="76"/>
      <c r="N23" s="76"/>
      <c r="O23" s="76"/>
      <c r="P23" s="76"/>
      <c r="Q23" s="76"/>
      <c r="R23" s="76"/>
      <c r="S23" s="76"/>
      <c r="T23" s="76"/>
      <c r="U23" s="77"/>
      <c r="V23" s="77"/>
    </row>
    <row r="24" spans="1:22" ht="15.75">
      <c r="A24" s="76"/>
      <c r="B24" s="77" t="s">
        <v>202</v>
      </c>
      <c r="C24" s="76"/>
      <c r="D24" s="76"/>
      <c r="E24" s="76"/>
      <c r="F24" s="76"/>
      <c r="G24" s="76"/>
      <c r="H24" s="76"/>
      <c r="I24" s="76"/>
      <c r="J24" s="76"/>
      <c r="K24" s="76"/>
      <c r="L24" s="76"/>
      <c r="M24" s="76"/>
      <c r="N24" s="76"/>
      <c r="O24" s="76"/>
      <c r="P24" s="76"/>
      <c r="Q24" s="76"/>
      <c r="R24" s="76"/>
      <c r="S24" s="76"/>
      <c r="T24" s="76"/>
      <c r="U24" s="77"/>
      <c r="V24" s="77"/>
    </row>
    <row r="25" spans="1:22" ht="15.75">
      <c r="A25" s="74" t="s">
        <v>16</v>
      </c>
      <c r="B25" s="822" t="s">
        <v>203</v>
      </c>
      <c r="C25" s="822"/>
      <c r="D25" s="822"/>
      <c r="E25" s="822"/>
      <c r="F25" s="822"/>
      <c r="G25" s="822"/>
      <c r="H25" s="76"/>
      <c r="I25" s="76"/>
      <c r="J25" s="76"/>
      <c r="K25" s="76"/>
      <c r="L25" s="76"/>
      <c r="M25" s="76"/>
      <c r="N25" s="76"/>
      <c r="O25" s="76"/>
      <c r="P25" s="76"/>
      <c r="Q25" s="76"/>
      <c r="R25" s="76"/>
      <c r="S25" s="76"/>
      <c r="T25" s="76"/>
      <c r="U25" s="77"/>
      <c r="V25" s="77"/>
    </row>
    <row r="26" spans="1:22" ht="15.75">
      <c r="A26" s="76"/>
      <c r="B26" s="77" t="s">
        <v>204</v>
      </c>
      <c r="C26" s="76"/>
      <c r="D26" s="76"/>
      <c r="E26" s="76"/>
      <c r="F26" s="76"/>
      <c r="G26" s="76"/>
      <c r="H26" s="76"/>
      <c r="I26" s="76"/>
      <c r="J26" s="76"/>
      <c r="K26" s="76"/>
      <c r="L26" s="76"/>
      <c r="M26" s="76"/>
      <c r="N26" s="76"/>
      <c r="O26" s="76"/>
      <c r="P26" s="76"/>
      <c r="Q26" s="76"/>
      <c r="R26" s="76"/>
      <c r="S26" s="76"/>
      <c r="T26" s="76"/>
      <c r="U26" s="77"/>
      <c r="V26" s="77"/>
    </row>
    <row r="27" spans="1:22" ht="15.75">
      <c r="A27" s="81" t="s">
        <v>22</v>
      </c>
      <c r="B27" s="92" t="s">
        <v>205</v>
      </c>
      <c r="C27" s="81"/>
      <c r="D27" s="81"/>
      <c r="E27" s="81"/>
      <c r="F27" s="81"/>
      <c r="G27" s="81"/>
      <c r="H27" s="81"/>
      <c r="I27" s="81"/>
      <c r="J27" s="81"/>
      <c r="K27" s="81"/>
      <c r="L27" s="81"/>
      <c r="M27" s="81"/>
      <c r="N27" s="81"/>
      <c r="O27" s="81"/>
      <c r="P27" s="81"/>
      <c r="Q27" s="81"/>
      <c r="R27" s="81"/>
      <c r="S27" s="81"/>
      <c r="T27" s="81"/>
      <c r="U27" s="92"/>
      <c r="V27" s="92"/>
    </row>
    <row r="28" spans="1:22" ht="15.75">
      <c r="A28" s="36"/>
    </row>
  </sheetData>
  <customSheetViews>
    <customSheetView guid="{9F606621-8853-4836-9A7E-DBA5CF152671}">
      <pageMargins left="0.7" right="0.7" top="0.75" bottom="0.75" header="0.3" footer="0.3"/>
    </customSheetView>
    <customSheetView guid="{DB9039ED-C6EA-422D-9A5D-D152D95EDC67}">
      <pageMargins left="0.7" right="0.7" top="0.75" bottom="0.75" header="0.3" footer="0.3"/>
    </customSheetView>
  </customSheetViews>
  <mergeCells count="27">
    <mergeCell ref="S5:V6"/>
    <mergeCell ref="F6:F8"/>
    <mergeCell ref="G6:J6"/>
    <mergeCell ref="K7:K8"/>
    <mergeCell ref="L7:N7"/>
    <mergeCell ref="O7:O8"/>
    <mergeCell ref="B25:G25"/>
    <mergeCell ref="A2:V2"/>
    <mergeCell ref="A3:V3"/>
    <mergeCell ref="B20:G20"/>
    <mergeCell ref="B23:E23"/>
    <mergeCell ref="B17:H17"/>
    <mergeCell ref="P7:R7"/>
    <mergeCell ref="S7:S8"/>
    <mergeCell ref="T7:V7"/>
    <mergeCell ref="B11:F11"/>
    <mergeCell ref="B12:E12"/>
    <mergeCell ref="K5:N6"/>
    <mergeCell ref="O5:R6"/>
    <mergeCell ref="F5:J5"/>
    <mergeCell ref="A5:A8"/>
    <mergeCell ref="B5:B8"/>
    <mergeCell ref="C5:C8"/>
    <mergeCell ref="D5:D8"/>
    <mergeCell ref="E5:E8"/>
    <mergeCell ref="G7:G8"/>
    <mergeCell ref="H7:J7"/>
  </mergeCells>
  <pageMargins left="0.7" right="0.7" top="0.75" bottom="0.75" header="0.3" footer="0.3"/>
</worksheet>
</file>

<file path=xl/worksheets/sheet48.xml><?xml version="1.0" encoding="utf-8"?>
<worksheet xmlns="http://schemas.openxmlformats.org/spreadsheetml/2006/main" xmlns:r="http://schemas.openxmlformats.org/officeDocument/2006/relationships">
  <sheetPr>
    <tabColor rgb="FF7030A0"/>
  </sheetPr>
  <dimension ref="A1:E20"/>
  <sheetViews>
    <sheetView workbookViewId="0">
      <selection activeCell="C7" sqref="C7"/>
    </sheetView>
  </sheetViews>
  <sheetFormatPr defaultRowHeight="15"/>
  <cols>
    <col min="1" max="1" width="5.85546875" customWidth="1"/>
    <col min="2" max="2" width="39.7109375" customWidth="1"/>
    <col min="3" max="5" width="12.28515625" style="552" customWidth="1"/>
  </cols>
  <sheetData>
    <row r="1" spans="1:5" ht="15.75">
      <c r="E1" s="553" t="s">
        <v>601</v>
      </c>
    </row>
    <row r="2" spans="1:5" ht="15.75">
      <c r="A2" s="781" t="s">
        <v>1484</v>
      </c>
      <c r="B2" s="781"/>
      <c r="C2" s="781"/>
      <c r="D2" s="781"/>
      <c r="E2" s="781"/>
    </row>
    <row r="3" spans="1:5" ht="15.75">
      <c r="A3" s="781" t="s">
        <v>559</v>
      </c>
      <c r="B3" s="781"/>
      <c r="C3" s="781"/>
      <c r="D3" s="781"/>
      <c r="E3" s="781"/>
    </row>
    <row r="4" spans="1:5" ht="15.75">
      <c r="A4" s="781"/>
      <c r="B4" s="781"/>
      <c r="C4" s="781"/>
      <c r="D4" s="781"/>
      <c r="E4" s="781"/>
    </row>
    <row r="5" spans="1:5" ht="15.75">
      <c r="E5" s="554" t="s">
        <v>56</v>
      </c>
    </row>
    <row r="6" spans="1:5" s="555" customFormat="1" ht="48" customHeight="1">
      <c r="A6" s="548" t="s">
        <v>3</v>
      </c>
      <c r="B6" s="548" t="s">
        <v>4</v>
      </c>
      <c r="C6" s="543" t="s">
        <v>797</v>
      </c>
      <c r="D6" s="543" t="s">
        <v>864</v>
      </c>
      <c r="E6" s="543" t="s">
        <v>346</v>
      </c>
    </row>
    <row r="7" spans="1:5" s="557" customFormat="1" ht="15.75">
      <c r="A7" s="549" t="s">
        <v>15</v>
      </c>
      <c r="B7" s="549" t="s">
        <v>16</v>
      </c>
      <c r="C7" s="556">
        <v>1</v>
      </c>
      <c r="D7" s="556">
        <v>2</v>
      </c>
      <c r="E7" s="556" t="s">
        <v>258</v>
      </c>
    </row>
    <row r="8" spans="1:5" ht="15.75">
      <c r="A8" s="71"/>
      <c r="B8" s="72" t="s">
        <v>133</v>
      </c>
      <c r="C8" s="167">
        <f>+C9+C12+C13+C14+C15+C16+C17</f>
        <v>1227368</v>
      </c>
      <c r="D8" s="167">
        <f>+D9+D12+D13+D14+D15+D16+D17</f>
        <v>1380794.24</v>
      </c>
      <c r="E8" s="558">
        <f>D8/C8</f>
        <v>1.1250042692982056</v>
      </c>
    </row>
    <row r="9" spans="1:5" ht="21.75" customHeight="1">
      <c r="A9" s="76">
        <v>1</v>
      </c>
      <c r="B9" s="77" t="s">
        <v>560</v>
      </c>
      <c r="C9" s="158">
        <f>C10+C11</f>
        <v>78109</v>
      </c>
      <c r="D9" s="158">
        <f t="shared" ref="D9" si="0">D10+D11</f>
        <v>87482.08</v>
      </c>
      <c r="E9" s="559">
        <f>D9/C9</f>
        <v>1.1200000000000001</v>
      </c>
    </row>
    <row r="10" spans="1:5" ht="21.75" customHeight="1">
      <c r="A10" s="76" t="s">
        <v>22</v>
      </c>
      <c r="B10" s="78" t="s">
        <v>561</v>
      </c>
      <c r="C10" s="158">
        <f>'29-ThuDVSN'!D10</f>
        <v>44500</v>
      </c>
      <c r="D10" s="158">
        <f>'[21]Bieu so 47'!$D$27/1000</f>
        <v>49840</v>
      </c>
      <c r="E10" s="559">
        <f t="shared" ref="E10:E17" si="1">D10/C10</f>
        <v>1.1200000000000001</v>
      </c>
    </row>
    <row r="11" spans="1:5" ht="21.75" customHeight="1">
      <c r="A11" s="76" t="s">
        <v>22</v>
      </c>
      <c r="B11" s="78" t="s">
        <v>562</v>
      </c>
      <c r="C11" s="158">
        <f>'29-ThuDVSN'!D11</f>
        <v>33609</v>
      </c>
      <c r="D11" s="158">
        <f>'[21]Bieu so 47'!$D$30/1000+'[21]Bieu so 47'!$D$98/1000</f>
        <v>37642.080000000002</v>
      </c>
      <c r="E11" s="559">
        <f t="shared" si="1"/>
        <v>1.1200000000000001</v>
      </c>
    </row>
    <row r="12" spans="1:5" ht="21.75" customHeight="1">
      <c r="A12" s="76">
        <v>2</v>
      </c>
      <c r="B12" s="77" t="s">
        <v>563</v>
      </c>
      <c r="C12" s="158">
        <f>'29-ThuDVSN'!D12</f>
        <v>0</v>
      </c>
      <c r="D12" s="158"/>
      <c r="E12" s="559"/>
    </row>
    <row r="13" spans="1:5" ht="21.75" customHeight="1">
      <c r="A13" s="76">
        <v>3</v>
      </c>
      <c r="B13" s="77" t="s">
        <v>564</v>
      </c>
      <c r="C13" s="158">
        <f>'29-ThuDVSN'!D13</f>
        <v>827539</v>
      </c>
      <c r="D13" s="158">
        <f>'[21]Bieu so 47'!$D$42/1000</f>
        <v>937465.76</v>
      </c>
      <c r="E13" s="559">
        <f t="shared" si="1"/>
        <v>1.1328357455056499</v>
      </c>
    </row>
    <row r="14" spans="1:5" ht="21.75" customHeight="1">
      <c r="A14" s="76">
        <v>4</v>
      </c>
      <c r="B14" s="77" t="s">
        <v>565</v>
      </c>
      <c r="C14" s="158">
        <f>'29-ThuDVSN'!D14</f>
        <v>9484</v>
      </c>
      <c r="D14" s="158">
        <f>'[21]Bieu so 47'!$D$59/1000</f>
        <v>10622.08</v>
      </c>
      <c r="E14" s="559">
        <f t="shared" si="1"/>
        <v>1.1199999999999999</v>
      </c>
    </row>
    <row r="15" spans="1:5" ht="21.75" customHeight="1">
      <c r="A15" s="76">
        <v>5</v>
      </c>
      <c r="B15" s="77" t="s">
        <v>566</v>
      </c>
      <c r="C15" s="158">
        <f>'29-ThuDVSN'!D15</f>
        <v>50000</v>
      </c>
      <c r="D15" s="158">
        <f>'[21]Bieu so 47'!$D$70/1000</f>
        <v>56000</v>
      </c>
      <c r="E15" s="559">
        <f t="shared" si="1"/>
        <v>1.1200000000000001</v>
      </c>
    </row>
    <row r="16" spans="1:5" ht="21.75" customHeight="1">
      <c r="A16" s="76">
        <v>6</v>
      </c>
      <c r="B16" s="77" t="s">
        <v>567</v>
      </c>
      <c r="C16" s="158">
        <f>'29-ThuDVSN'!D16</f>
        <v>800</v>
      </c>
      <c r="D16" s="158">
        <f>'[21]Bieu so 47'!$D$72/1000</f>
        <v>896</v>
      </c>
      <c r="E16" s="559">
        <f t="shared" si="1"/>
        <v>1.1200000000000001</v>
      </c>
    </row>
    <row r="17" spans="1:5" ht="21.75" customHeight="1">
      <c r="A17" s="76">
        <v>7</v>
      </c>
      <c r="B17" s="77" t="s">
        <v>1369</v>
      </c>
      <c r="C17" s="158">
        <f>'29-ThuDVSN'!D17</f>
        <v>261436</v>
      </c>
      <c r="D17" s="158">
        <f>'[21]Bieu so 47'!$D$12/1000+'[21]Bieu so 47'!$D$75/1000+'[21]Bieu so 47'!$D$79/1000</f>
        <v>288328.32000000001</v>
      </c>
      <c r="E17" s="559">
        <f t="shared" si="1"/>
        <v>1.1028638749062869</v>
      </c>
    </row>
    <row r="18" spans="1:5" ht="21.75" customHeight="1">
      <c r="A18" s="76">
        <v>8</v>
      </c>
      <c r="B18" s="77"/>
      <c r="C18" s="158"/>
      <c r="D18" s="158"/>
      <c r="E18" s="158"/>
    </row>
    <row r="19" spans="1:5" ht="21.75" customHeight="1">
      <c r="A19" s="76">
        <v>9</v>
      </c>
      <c r="B19" s="77"/>
      <c r="C19" s="158"/>
      <c r="D19" s="158"/>
      <c r="E19" s="158"/>
    </row>
    <row r="20" spans="1:5" ht="21.75" customHeight="1">
      <c r="A20" s="81"/>
      <c r="B20" s="92"/>
      <c r="C20" s="159"/>
      <c r="D20" s="159"/>
      <c r="E20" s="159"/>
    </row>
  </sheetData>
  <customSheetViews>
    <customSheetView guid="{9F606621-8853-4836-9A7E-DBA5CF152671}">
      <selection activeCell="C7" sqref="C7"/>
      <pageMargins left="0.7" right="0.7" top="0.75" bottom="0.75" header="0.3" footer="0.3"/>
    </customSheetView>
    <customSheetView guid="{DB9039ED-C6EA-422D-9A5D-D152D95EDC67}" showPageBreaks="1" hiddenRows="1">
      <selection activeCell="C7" sqref="C7"/>
      <pageMargins left="0.70866141732283472" right="0.51181102362204722" top="0.74803149606299213" bottom="0.74803149606299213" header="0.31496062992125984" footer="0.31496062992125984"/>
      <printOptions horizontalCentered="1"/>
      <pageSetup orientation="portrait" r:id="rId1"/>
    </customSheetView>
  </customSheetViews>
  <mergeCells count="3">
    <mergeCell ref="A2:E2"/>
    <mergeCell ref="A3:E3"/>
    <mergeCell ref="A4:E4"/>
  </mergeCells>
  <pageMargins left="0.7" right="0.7" top="0.75" bottom="0.75" header="0.3" footer="0.3"/>
</worksheet>
</file>

<file path=xl/worksheets/sheet49.xml><?xml version="1.0" encoding="utf-8"?>
<worksheet xmlns="http://schemas.openxmlformats.org/spreadsheetml/2006/main" xmlns:r="http://schemas.openxmlformats.org/officeDocument/2006/relationships">
  <sheetPr>
    <tabColor rgb="FF00B0F0"/>
  </sheetPr>
  <dimension ref="A1:F38"/>
  <sheetViews>
    <sheetView workbookViewId="0"/>
  </sheetViews>
  <sheetFormatPr defaultRowHeight="15"/>
  <cols>
    <col min="1" max="1" width="6.28515625" customWidth="1"/>
    <col min="2" max="2" width="45.42578125" customWidth="1"/>
    <col min="3" max="6" width="9.7109375" customWidth="1"/>
  </cols>
  <sheetData>
    <row r="1" spans="1:6" ht="15.75">
      <c r="F1" s="26" t="s">
        <v>602</v>
      </c>
    </row>
    <row r="2" spans="1:6" ht="23.25" customHeight="1">
      <c r="A2" s="781" t="s">
        <v>660</v>
      </c>
      <c r="B2" s="781"/>
      <c r="C2" s="781"/>
      <c r="D2" s="781"/>
      <c r="E2" s="781"/>
      <c r="F2" s="781"/>
    </row>
    <row r="3" spans="1:6" ht="15.75">
      <c r="A3" s="781" t="s">
        <v>126</v>
      </c>
      <c r="B3" s="781"/>
      <c r="C3" s="781"/>
      <c r="D3" s="781"/>
      <c r="E3" s="781"/>
      <c r="F3" s="781"/>
    </row>
    <row r="4" spans="1:6" ht="15.75">
      <c r="F4" s="27" t="s">
        <v>56</v>
      </c>
    </row>
    <row r="5" spans="1:6" ht="15.75">
      <c r="A5" s="773" t="s">
        <v>3</v>
      </c>
      <c r="B5" s="773" t="s">
        <v>329</v>
      </c>
      <c r="C5" s="773" t="s">
        <v>582</v>
      </c>
      <c r="D5" s="773" t="s">
        <v>661</v>
      </c>
      <c r="E5" s="773" t="s">
        <v>226</v>
      </c>
      <c r="F5" s="773"/>
    </row>
    <row r="6" spans="1:6" ht="31.5">
      <c r="A6" s="773"/>
      <c r="B6" s="773"/>
      <c r="C6" s="773"/>
      <c r="D6" s="773"/>
      <c r="E6" s="30" t="s">
        <v>227</v>
      </c>
      <c r="F6" s="30" t="s">
        <v>385</v>
      </c>
    </row>
    <row r="7" spans="1:6" s="39" customFormat="1" ht="15.75">
      <c r="A7" s="29" t="s">
        <v>15</v>
      </c>
      <c r="B7" s="29" t="s">
        <v>16</v>
      </c>
      <c r="C7" s="29">
        <v>1</v>
      </c>
      <c r="D7" s="29">
        <v>2</v>
      </c>
      <c r="E7" s="29" t="s">
        <v>332</v>
      </c>
      <c r="F7" s="29" t="s">
        <v>333</v>
      </c>
    </row>
    <row r="8" spans="1:6" ht="15.75">
      <c r="A8" s="30" t="s">
        <v>15</v>
      </c>
      <c r="B8" s="31" t="s">
        <v>231</v>
      </c>
      <c r="C8" s="29"/>
      <c r="D8" s="29"/>
      <c r="E8" s="29"/>
      <c r="F8" s="29"/>
    </row>
    <row r="9" spans="1:6" ht="15.75">
      <c r="A9" s="30" t="s">
        <v>83</v>
      </c>
      <c r="B9" s="31" t="s">
        <v>334</v>
      </c>
      <c r="C9" s="29"/>
      <c r="D9" s="29"/>
      <c r="E9" s="29"/>
      <c r="F9" s="29"/>
    </row>
    <row r="10" spans="1:6" ht="15.75">
      <c r="A10" s="29" t="s">
        <v>22</v>
      </c>
      <c r="B10" s="32" t="s">
        <v>335</v>
      </c>
      <c r="C10" s="29"/>
      <c r="D10" s="29"/>
      <c r="E10" s="29"/>
      <c r="F10" s="29"/>
    </row>
    <row r="11" spans="1:6" ht="15.75">
      <c r="A11" s="29" t="s">
        <v>22</v>
      </c>
      <c r="B11" s="32" t="s">
        <v>336</v>
      </c>
      <c r="C11" s="29"/>
      <c r="D11" s="29"/>
      <c r="E11" s="29"/>
      <c r="F11" s="29"/>
    </row>
    <row r="12" spans="1:6" ht="15.75">
      <c r="A12" s="30" t="s">
        <v>70</v>
      </c>
      <c r="B12" s="31" t="s">
        <v>662</v>
      </c>
      <c r="C12" s="29"/>
      <c r="D12" s="29"/>
      <c r="E12" s="29"/>
      <c r="F12" s="29"/>
    </row>
    <row r="13" spans="1:6" ht="15.75">
      <c r="A13" s="29">
        <v>1</v>
      </c>
      <c r="B13" s="32" t="s">
        <v>234</v>
      </c>
      <c r="C13" s="29"/>
      <c r="D13" s="29"/>
      <c r="E13" s="29"/>
      <c r="F13" s="29"/>
    </row>
    <row r="14" spans="1:6" ht="15.75">
      <c r="A14" s="29">
        <v>2</v>
      </c>
      <c r="B14" s="32" t="s">
        <v>88</v>
      </c>
      <c r="C14" s="29"/>
      <c r="D14" s="29"/>
      <c r="E14" s="29"/>
      <c r="F14" s="29"/>
    </row>
    <row r="15" spans="1:6" ht="15.75">
      <c r="A15" s="30" t="s">
        <v>73</v>
      </c>
      <c r="B15" s="31" t="s">
        <v>235</v>
      </c>
      <c r="C15" s="29"/>
      <c r="D15" s="29"/>
      <c r="E15" s="29"/>
      <c r="F15" s="29"/>
    </row>
    <row r="16" spans="1:6" ht="15.75">
      <c r="A16" s="30" t="s">
        <v>77</v>
      </c>
      <c r="B16" s="31" t="s">
        <v>287</v>
      </c>
      <c r="C16" s="29"/>
      <c r="D16" s="29"/>
      <c r="E16" s="29"/>
      <c r="F16" s="29"/>
    </row>
    <row r="17" spans="1:6" ht="15.75">
      <c r="A17" s="30" t="s">
        <v>113</v>
      </c>
      <c r="B17" s="31" t="s">
        <v>237</v>
      </c>
      <c r="C17" s="29"/>
      <c r="D17" s="29"/>
      <c r="E17" s="29"/>
      <c r="F17" s="29"/>
    </row>
    <row r="18" spans="1:6" ht="15.75">
      <c r="A18" s="30" t="s">
        <v>16</v>
      </c>
      <c r="B18" s="31" t="s">
        <v>90</v>
      </c>
      <c r="C18" s="29"/>
      <c r="D18" s="29"/>
      <c r="E18" s="29"/>
      <c r="F18" s="29"/>
    </row>
    <row r="19" spans="1:6" ht="15.75">
      <c r="A19" s="30" t="s">
        <v>83</v>
      </c>
      <c r="B19" s="31" t="s">
        <v>663</v>
      </c>
      <c r="C19" s="29"/>
      <c r="D19" s="29"/>
      <c r="E19" s="29"/>
      <c r="F19" s="29"/>
    </row>
    <row r="20" spans="1:6" ht="15.75">
      <c r="A20" s="29">
        <v>1</v>
      </c>
      <c r="B20" s="32" t="s">
        <v>340</v>
      </c>
      <c r="C20" s="29"/>
      <c r="D20" s="29"/>
      <c r="E20" s="29"/>
      <c r="F20" s="29"/>
    </row>
    <row r="21" spans="1:6" ht="15.75">
      <c r="A21" s="29">
        <v>2</v>
      </c>
      <c r="B21" s="32" t="s">
        <v>96</v>
      </c>
      <c r="C21" s="29"/>
      <c r="D21" s="29"/>
      <c r="E21" s="29"/>
      <c r="F21" s="29"/>
    </row>
    <row r="22" spans="1:6" ht="31.5">
      <c r="A22" s="29">
        <v>3</v>
      </c>
      <c r="B22" s="32" t="s">
        <v>97</v>
      </c>
      <c r="C22" s="29"/>
      <c r="D22" s="29"/>
      <c r="E22" s="29"/>
      <c r="F22" s="29"/>
    </row>
    <row r="23" spans="1:6" ht="15.75">
      <c r="A23" s="29">
        <v>4</v>
      </c>
      <c r="B23" s="32" t="s">
        <v>240</v>
      </c>
      <c r="C23" s="29"/>
      <c r="D23" s="29"/>
      <c r="E23" s="29"/>
      <c r="F23" s="29"/>
    </row>
    <row r="24" spans="1:6" ht="15.75">
      <c r="A24" s="29">
        <v>5</v>
      </c>
      <c r="B24" s="32" t="s">
        <v>241</v>
      </c>
      <c r="C24" s="29"/>
      <c r="D24" s="29"/>
      <c r="E24" s="29"/>
      <c r="F24" s="29"/>
    </row>
    <row r="25" spans="1:6" ht="15.75">
      <c r="A25" s="29">
        <v>6</v>
      </c>
      <c r="B25" s="32" t="s">
        <v>98</v>
      </c>
      <c r="C25" s="29"/>
      <c r="D25" s="29"/>
      <c r="E25" s="29"/>
      <c r="F25" s="29"/>
    </row>
    <row r="26" spans="1:6" ht="15.75">
      <c r="A26" s="30" t="s">
        <v>70</v>
      </c>
      <c r="B26" s="31" t="s">
        <v>242</v>
      </c>
      <c r="C26" s="29"/>
      <c r="D26" s="29"/>
      <c r="E26" s="29"/>
      <c r="F26" s="29"/>
    </row>
    <row r="27" spans="1:6" ht="15.75">
      <c r="A27" s="29">
        <v>1</v>
      </c>
      <c r="B27" s="32" t="s">
        <v>243</v>
      </c>
      <c r="C27" s="29"/>
      <c r="D27" s="29"/>
      <c r="E27" s="29"/>
      <c r="F27" s="29"/>
    </row>
    <row r="28" spans="1:6" ht="15.75">
      <c r="A28" s="29">
        <v>2</v>
      </c>
      <c r="B28" s="32" t="s">
        <v>244</v>
      </c>
      <c r="C28" s="29"/>
      <c r="D28" s="29"/>
      <c r="E28" s="29"/>
      <c r="F28" s="29"/>
    </row>
    <row r="29" spans="1:6" ht="15.75">
      <c r="A29" s="30" t="s">
        <v>73</v>
      </c>
      <c r="B29" s="31" t="s">
        <v>245</v>
      </c>
      <c r="C29" s="29"/>
      <c r="D29" s="29"/>
      <c r="E29" s="29"/>
      <c r="F29" s="29"/>
    </row>
    <row r="30" spans="1:6" ht="31.5">
      <c r="A30" s="30" t="s">
        <v>79</v>
      </c>
      <c r="B30" s="31" t="s">
        <v>664</v>
      </c>
      <c r="C30" s="29"/>
      <c r="D30" s="29"/>
      <c r="E30" s="29"/>
      <c r="F30" s="29"/>
    </row>
    <row r="31" spans="1:6" ht="15.75">
      <c r="A31" s="30" t="s">
        <v>89</v>
      </c>
      <c r="B31" s="31" t="s">
        <v>665</v>
      </c>
      <c r="C31" s="29"/>
      <c r="D31" s="29"/>
      <c r="E31" s="29"/>
      <c r="F31" s="29"/>
    </row>
    <row r="32" spans="1:6" ht="15.75">
      <c r="A32" s="30" t="s">
        <v>83</v>
      </c>
      <c r="B32" s="31" t="s">
        <v>108</v>
      </c>
      <c r="C32" s="29"/>
      <c r="D32" s="29"/>
      <c r="E32" s="29"/>
      <c r="F32" s="29"/>
    </row>
    <row r="33" spans="1:6" ht="31.5">
      <c r="A33" s="30" t="s">
        <v>70</v>
      </c>
      <c r="B33" s="31" t="s">
        <v>251</v>
      </c>
      <c r="C33" s="29"/>
      <c r="D33" s="29"/>
      <c r="E33" s="29"/>
      <c r="F33" s="29"/>
    </row>
    <row r="34" spans="1:6" ht="15.75">
      <c r="A34" s="30" t="s">
        <v>99</v>
      </c>
      <c r="B34" s="31" t="s">
        <v>342</v>
      </c>
      <c r="C34" s="29"/>
      <c r="D34" s="29"/>
      <c r="E34" s="29"/>
      <c r="F34" s="29"/>
    </row>
    <row r="35" spans="1:6" ht="15.75">
      <c r="A35" s="30" t="s">
        <v>83</v>
      </c>
      <c r="B35" s="31" t="s">
        <v>111</v>
      </c>
      <c r="C35" s="29"/>
      <c r="D35" s="29"/>
      <c r="E35" s="29"/>
      <c r="F35" s="29"/>
    </row>
    <row r="36" spans="1:6" ht="15.75">
      <c r="A36" s="30" t="s">
        <v>70</v>
      </c>
      <c r="B36" s="31" t="s">
        <v>112</v>
      </c>
      <c r="C36" s="29"/>
      <c r="D36" s="29"/>
      <c r="E36" s="29"/>
      <c r="F36" s="29"/>
    </row>
    <row r="37" spans="1:6" ht="31.5">
      <c r="A37" s="30" t="s">
        <v>101</v>
      </c>
      <c r="B37" s="31" t="s">
        <v>666</v>
      </c>
      <c r="C37" s="29"/>
      <c r="D37" s="29"/>
      <c r="E37" s="29"/>
      <c r="F37" s="29"/>
    </row>
    <row r="38" spans="1:6" ht="60" customHeight="1">
      <c r="A38" s="821" t="s">
        <v>667</v>
      </c>
      <c r="B38" s="821"/>
      <c r="C38" s="821"/>
      <c r="D38" s="821"/>
      <c r="E38" s="821"/>
      <c r="F38" s="821"/>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8">
    <mergeCell ref="A2:F2"/>
    <mergeCell ref="A3:F3"/>
    <mergeCell ref="A38:F38"/>
    <mergeCell ref="A5:A6"/>
    <mergeCell ref="B5:B6"/>
    <mergeCell ref="C5:C6"/>
    <mergeCell ref="D5:D6"/>
    <mergeCell ref="E5:F5"/>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M27"/>
  <sheetViews>
    <sheetView workbookViewId="0">
      <selection sqref="A1:M1"/>
    </sheetView>
  </sheetViews>
  <sheetFormatPr defaultColWidth="9.140625" defaultRowHeight="15"/>
  <cols>
    <col min="1" max="1" width="6" style="1" customWidth="1"/>
    <col min="2" max="2" width="37.140625" style="1" customWidth="1"/>
    <col min="3" max="16384" width="9.140625" style="1"/>
  </cols>
  <sheetData>
    <row r="1" spans="1:13">
      <c r="A1" s="706" t="s">
        <v>178</v>
      </c>
      <c r="B1" s="706"/>
      <c r="C1" s="706"/>
      <c r="D1" s="706"/>
      <c r="E1" s="706"/>
      <c r="F1" s="706"/>
      <c r="G1" s="706"/>
      <c r="H1" s="706"/>
      <c r="I1" s="706"/>
      <c r="J1" s="706"/>
      <c r="K1" s="706"/>
      <c r="L1" s="706"/>
      <c r="M1" s="706"/>
    </row>
    <row r="2" spans="1:13" ht="41.25" customHeight="1">
      <c r="A2" s="701" t="s">
        <v>179</v>
      </c>
      <c r="B2" s="701"/>
      <c r="C2" s="701"/>
      <c r="D2" s="701"/>
      <c r="E2" s="701"/>
      <c r="F2" s="701"/>
      <c r="G2" s="701"/>
      <c r="H2" s="701"/>
      <c r="I2" s="701"/>
      <c r="J2" s="701"/>
      <c r="K2" s="701"/>
      <c r="L2" s="701"/>
      <c r="M2" s="701"/>
    </row>
    <row r="3" spans="1:13">
      <c r="A3" s="707" t="s">
        <v>126</v>
      </c>
      <c r="B3" s="707"/>
      <c r="C3" s="707"/>
      <c r="D3" s="707"/>
      <c r="E3" s="707"/>
      <c r="F3" s="707"/>
      <c r="G3" s="707"/>
      <c r="H3" s="707"/>
      <c r="I3" s="707"/>
      <c r="J3" s="707"/>
      <c r="K3" s="707"/>
      <c r="L3" s="707"/>
      <c r="M3" s="707"/>
    </row>
    <row r="4" spans="1:13">
      <c r="K4" s="708" t="s">
        <v>56</v>
      </c>
      <c r="L4" s="708"/>
      <c r="M4" s="708"/>
    </row>
    <row r="5" spans="1:13" ht="23.25" customHeight="1">
      <c r="A5" s="705" t="s">
        <v>3</v>
      </c>
      <c r="B5" s="705" t="s">
        <v>180</v>
      </c>
      <c r="C5" s="705" t="s">
        <v>181</v>
      </c>
      <c r="D5" s="705" t="s">
        <v>182</v>
      </c>
      <c r="E5" s="705" t="s">
        <v>183</v>
      </c>
      <c r="F5" s="705" t="s">
        <v>184</v>
      </c>
      <c r="G5" s="705"/>
      <c r="H5" s="705"/>
      <c r="I5" s="705" t="s">
        <v>185</v>
      </c>
      <c r="J5" s="705"/>
      <c r="K5" s="705" t="s">
        <v>186</v>
      </c>
      <c r="L5" s="705"/>
      <c r="M5" s="705" t="s">
        <v>129</v>
      </c>
    </row>
    <row r="6" spans="1:13" ht="36.75" customHeight="1">
      <c r="A6" s="705"/>
      <c r="B6" s="705"/>
      <c r="C6" s="705"/>
      <c r="D6" s="705"/>
      <c r="E6" s="705"/>
      <c r="F6" s="705" t="s">
        <v>187</v>
      </c>
      <c r="G6" s="705" t="s">
        <v>188</v>
      </c>
      <c r="H6" s="705"/>
      <c r="I6" s="705"/>
      <c r="J6" s="705"/>
      <c r="K6" s="705"/>
      <c r="L6" s="705"/>
      <c r="M6" s="705"/>
    </row>
    <row r="7" spans="1:13" ht="71.25">
      <c r="A7" s="705"/>
      <c r="B7" s="705"/>
      <c r="C7" s="705"/>
      <c r="D7" s="705"/>
      <c r="E7" s="705"/>
      <c r="F7" s="705"/>
      <c r="G7" s="2" t="s">
        <v>189</v>
      </c>
      <c r="H7" s="2" t="s">
        <v>190</v>
      </c>
      <c r="I7" s="2" t="s">
        <v>130</v>
      </c>
      <c r="J7" s="2" t="s">
        <v>190</v>
      </c>
      <c r="K7" s="2" t="s">
        <v>130</v>
      </c>
      <c r="L7" s="2" t="s">
        <v>190</v>
      </c>
      <c r="M7" s="705"/>
    </row>
    <row r="8" spans="1:13">
      <c r="A8" s="2" t="s">
        <v>15</v>
      </c>
      <c r="B8" s="2" t="s">
        <v>16</v>
      </c>
      <c r="C8" s="2">
        <v>1</v>
      </c>
      <c r="D8" s="2">
        <v>2</v>
      </c>
      <c r="E8" s="2">
        <v>3</v>
      </c>
      <c r="F8" s="2">
        <v>4</v>
      </c>
      <c r="G8" s="2">
        <v>5</v>
      </c>
      <c r="H8" s="2">
        <v>6</v>
      </c>
      <c r="I8" s="2">
        <v>7</v>
      </c>
      <c r="J8" s="2">
        <v>8</v>
      </c>
      <c r="K8" s="2">
        <v>9</v>
      </c>
      <c r="L8" s="2">
        <v>10</v>
      </c>
      <c r="M8" s="2">
        <v>11</v>
      </c>
    </row>
    <row r="9" spans="1:13">
      <c r="A9" s="2"/>
      <c r="B9" s="2" t="s">
        <v>130</v>
      </c>
      <c r="C9" s="2"/>
      <c r="D9" s="2"/>
      <c r="E9" s="2"/>
      <c r="F9" s="2"/>
      <c r="G9" s="2"/>
      <c r="H9" s="2"/>
      <c r="I9" s="2"/>
      <c r="J9" s="2"/>
      <c r="K9" s="2"/>
      <c r="L9" s="2"/>
      <c r="M9" s="2"/>
    </row>
    <row r="10" spans="1:13">
      <c r="A10" s="2" t="s">
        <v>15</v>
      </c>
      <c r="B10" s="715" t="s">
        <v>191</v>
      </c>
      <c r="C10" s="715"/>
      <c r="D10" s="715"/>
      <c r="E10" s="715"/>
      <c r="F10" s="3"/>
      <c r="G10" s="3"/>
      <c r="H10" s="3"/>
      <c r="I10" s="3"/>
      <c r="J10" s="3"/>
      <c r="K10" s="3"/>
      <c r="L10" s="3"/>
      <c r="M10" s="3"/>
    </row>
    <row r="11" spans="1:13">
      <c r="A11" s="2" t="s">
        <v>83</v>
      </c>
      <c r="B11" s="715" t="s">
        <v>192</v>
      </c>
      <c r="C11" s="715"/>
      <c r="D11" s="715"/>
      <c r="E11" s="3"/>
      <c r="F11" s="3"/>
      <c r="G11" s="3"/>
      <c r="H11" s="3"/>
      <c r="I11" s="3"/>
      <c r="J11" s="3"/>
      <c r="K11" s="3"/>
      <c r="L11" s="3"/>
      <c r="M11" s="3"/>
    </row>
    <row r="12" spans="1:13">
      <c r="A12" s="2">
        <v>1</v>
      </c>
      <c r="B12" s="15" t="s">
        <v>193</v>
      </c>
      <c r="C12" s="3"/>
      <c r="D12" s="3"/>
      <c r="E12" s="3"/>
      <c r="F12" s="3"/>
      <c r="G12" s="3"/>
      <c r="H12" s="3"/>
      <c r="I12" s="3"/>
      <c r="J12" s="3"/>
      <c r="K12" s="3"/>
      <c r="L12" s="3"/>
      <c r="M12" s="3"/>
    </row>
    <row r="13" spans="1:13">
      <c r="A13" s="3" t="s">
        <v>22</v>
      </c>
      <c r="B13" s="4" t="s">
        <v>194</v>
      </c>
      <c r="C13" s="3"/>
      <c r="D13" s="3"/>
      <c r="E13" s="3"/>
      <c r="F13" s="3"/>
      <c r="G13" s="3"/>
      <c r="H13" s="3"/>
      <c r="I13" s="3"/>
      <c r="J13" s="3"/>
      <c r="K13" s="3"/>
      <c r="L13" s="3"/>
      <c r="M13" s="3"/>
    </row>
    <row r="14" spans="1:13">
      <c r="A14" s="3" t="s">
        <v>22</v>
      </c>
      <c r="B14" s="4" t="s">
        <v>177</v>
      </c>
      <c r="C14" s="3"/>
      <c r="D14" s="3"/>
      <c r="E14" s="3"/>
      <c r="F14" s="3"/>
      <c r="G14" s="3"/>
      <c r="H14" s="3"/>
      <c r="I14" s="3"/>
      <c r="J14" s="3"/>
      <c r="K14" s="3"/>
      <c r="L14" s="3"/>
      <c r="M14" s="3"/>
    </row>
    <row r="15" spans="1:13">
      <c r="A15" s="2">
        <v>2</v>
      </c>
      <c r="B15" s="15" t="s">
        <v>195</v>
      </c>
      <c r="C15" s="3"/>
      <c r="D15" s="3"/>
      <c r="E15" s="3"/>
      <c r="F15" s="3"/>
      <c r="G15" s="3"/>
      <c r="H15" s="3"/>
      <c r="I15" s="3"/>
      <c r="J15" s="3"/>
      <c r="K15" s="3"/>
      <c r="L15" s="3"/>
      <c r="M15" s="3"/>
    </row>
    <row r="16" spans="1:13">
      <c r="A16" s="2" t="s">
        <v>144</v>
      </c>
      <c r="B16" s="715" t="s">
        <v>196</v>
      </c>
      <c r="C16" s="715"/>
      <c r="D16" s="715"/>
      <c r="E16" s="715"/>
      <c r="F16" s="715"/>
      <c r="G16" s="715"/>
      <c r="H16" s="3"/>
      <c r="I16" s="3"/>
      <c r="J16" s="3"/>
      <c r="K16" s="3"/>
      <c r="L16" s="3"/>
      <c r="M16" s="3"/>
    </row>
    <row r="17" spans="1:13">
      <c r="A17" s="3" t="s">
        <v>22</v>
      </c>
      <c r="B17" s="4" t="s">
        <v>197</v>
      </c>
      <c r="C17" s="3"/>
      <c r="D17" s="3"/>
      <c r="E17" s="3"/>
      <c r="F17" s="3"/>
      <c r="G17" s="3"/>
      <c r="H17" s="3"/>
      <c r="I17" s="3"/>
      <c r="J17" s="3"/>
      <c r="K17" s="3"/>
      <c r="L17" s="3"/>
      <c r="M17" s="3"/>
    </row>
    <row r="18" spans="1:13">
      <c r="A18" s="3" t="s">
        <v>22</v>
      </c>
      <c r="B18" s="4" t="s">
        <v>198</v>
      </c>
      <c r="C18" s="3"/>
      <c r="D18" s="3"/>
      <c r="E18" s="3"/>
      <c r="F18" s="3"/>
      <c r="G18" s="3"/>
      <c r="H18" s="3"/>
      <c r="I18" s="3"/>
      <c r="J18" s="3"/>
      <c r="K18" s="3"/>
      <c r="L18" s="3"/>
      <c r="M18" s="3"/>
    </row>
    <row r="19" spans="1:13">
      <c r="A19" s="2" t="s">
        <v>146</v>
      </c>
      <c r="B19" s="715" t="s">
        <v>199</v>
      </c>
      <c r="C19" s="715"/>
      <c r="D19" s="715"/>
      <c r="E19" s="715"/>
      <c r="F19" s="3"/>
      <c r="G19" s="3"/>
      <c r="H19" s="3"/>
      <c r="I19" s="3"/>
      <c r="J19" s="3"/>
      <c r="K19" s="3"/>
      <c r="L19" s="3"/>
      <c r="M19" s="3"/>
    </row>
    <row r="20" spans="1:13">
      <c r="A20" s="3" t="s">
        <v>22</v>
      </c>
      <c r="B20" s="4" t="s">
        <v>200</v>
      </c>
      <c r="C20" s="3"/>
      <c r="D20" s="3"/>
      <c r="E20" s="3"/>
      <c r="F20" s="3"/>
      <c r="G20" s="3"/>
      <c r="H20" s="3"/>
      <c r="I20" s="3"/>
      <c r="J20" s="3"/>
      <c r="K20" s="3"/>
      <c r="L20" s="3"/>
      <c r="M20" s="3"/>
    </row>
    <row r="21" spans="1:13">
      <c r="A21" s="3" t="s">
        <v>22</v>
      </c>
      <c r="B21" s="4" t="s">
        <v>201</v>
      </c>
      <c r="C21" s="3"/>
      <c r="D21" s="3"/>
      <c r="E21" s="3"/>
      <c r="F21" s="3"/>
      <c r="G21" s="3"/>
      <c r="H21" s="3"/>
      <c r="I21" s="3"/>
      <c r="J21" s="3"/>
      <c r="K21" s="3"/>
      <c r="L21" s="3"/>
      <c r="M21" s="3"/>
    </row>
    <row r="22" spans="1:13">
      <c r="A22" s="2" t="s">
        <v>70</v>
      </c>
      <c r="B22" s="715" t="s">
        <v>192</v>
      </c>
      <c r="C22" s="715"/>
      <c r="D22" s="715"/>
      <c r="E22" s="3"/>
      <c r="F22" s="3"/>
      <c r="G22" s="3"/>
      <c r="H22" s="3"/>
      <c r="I22" s="3"/>
      <c r="J22" s="3"/>
      <c r="K22" s="3"/>
      <c r="L22" s="3"/>
      <c r="M22" s="3"/>
    </row>
    <row r="23" spans="1:13">
      <c r="A23" s="3"/>
      <c r="B23" s="4" t="s">
        <v>202</v>
      </c>
      <c r="C23" s="3"/>
      <c r="D23" s="3"/>
      <c r="E23" s="3"/>
      <c r="F23" s="3"/>
      <c r="G23" s="3"/>
      <c r="H23" s="3"/>
      <c r="I23" s="3"/>
      <c r="J23" s="3"/>
      <c r="K23" s="3"/>
      <c r="L23" s="3"/>
      <c r="M23" s="3"/>
    </row>
    <row r="24" spans="1:13">
      <c r="A24" s="2" t="s">
        <v>16</v>
      </c>
      <c r="B24" s="715" t="s">
        <v>203</v>
      </c>
      <c r="C24" s="715"/>
      <c r="D24" s="715"/>
      <c r="E24" s="715"/>
      <c r="F24" s="3"/>
      <c r="G24" s="3"/>
      <c r="H24" s="3"/>
      <c r="I24" s="3"/>
      <c r="J24" s="3"/>
      <c r="K24" s="3"/>
      <c r="L24" s="3"/>
      <c r="M24" s="3"/>
    </row>
    <row r="25" spans="1:13">
      <c r="A25" s="3"/>
      <c r="B25" s="4" t="s">
        <v>204</v>
      </c>
      <c r="C25" s="3"/>
      <c r="D25" s="3"/>
      <c r="E25" s="3"/>
      <c r="F25" s="3"/>
      <c r="G25" s="3"/>
      <c r="H25" s="3"/>
      <c r="I25" s="3"/>
      <c r="J25" s="3"/>
      <c r="K25" s="3"/>
      <c r="L25" s="3"/>
      <c r="M25" s="3"/>
    </row>
    <row r="26" spans="1:13">
      <c r="A26" s="3" t="s">
        <v>22</v>
      </c>
      <c r="B26" s="4" t="s">
        <v>205</v>
      </c>
      <c r="C26" s="3"/>
      <c r="D26" s="3"/>
      <c r="E26" s="3"/>
      <c r="F26" s="3"/>
      <c r="G26" s="3"/>
      <c r="H26" s="3"/>
      <c r="I26" s="3"/>
      <c r="J26" s="3"/>
      <c r="K26" s="3"/>
      <c r="L26" s="3"/>
      <c r="M26" s="3"/>
    </row>
    <row r="27" spans="1:13">
      <c r="A27" s="17"/>
    </row>
  </sheetData>
  <customSheetViews>
    <customSheetView guid="{9F606621-8853-4836-9A7E-DBA5CF152671}" state="hidden">
      <selection sqref="A1:M1"/>
      <pageMargins left="0.7" right="0.7" top="0.75" bottom="0.75" header="0.3" footer="0.3"/>
    </customSheetView>
    <customSheetView guid="{DB9039ED-C6EA-422D-9A5D-D152D95EDC67}" state="hidden">
      <selection sqref="A1:M1"/>
      <pageMargins left="0.7" right="0.7" top="0.75" bottom="0.75" header="0.3" footer="0.3"/>
    </customSheetView>
  </customSheetViews>
  <mergeCells count="21">
    <mergeCell ref="B10:E10"/>
    <mergeCell ref="A5:A7"/>
    <mergeCell ref="B5:B7"/>
    <mergeCell ref="C5:C7"/>
    <mergeCell ref="D5:D7"/>
    <mergeCell ref="E5:E7"/>
    <mergeCell ref="A1:M1"/>
    <mergeCell ref="A2:M2"/>
    <mergeCell ref="A3:M3"/>
    <mergeCell ref="K4:M4"/>
    <mergeCell ref="I5:J6"/>
    <mergeCell ref="K5:L6"/>
    <mergeCell ref="M5:M7"/>
    <mergeCell ref="F6:F7"/>
    <mergeCell ref="G6:H6"/>
    <mergeCell ref="F5:H5"/>
    <mergeCell ref="B11:D11"/>
    <mergeCell ref="B16:G16"/>
    <mergeCell ref="B19:E19"/>
    <mergeCell ref="B22:D22"/>
    <mergeCell ref="B24:E24"/>
  </mergeCells>
  <pageMargins left="0.7" right="0.7" top="0.75" bottom="0.75" header="0.3" footer="0.3"/>
</worksheet>
</file>

<file path=xl/worksheets/sheet50.xml><?xml version="1.0" encoding="utf-8"?>
<worksheet xmlns="http://schemas.openxmlformats.org/spreadsheetml/2006/main" xmlns:r="http://schemas.openxmlformats.org/officeDocument/2006/relationships">
  <sheetPr>
    <tabColor rgb="FF00B0F0"/>
  </sheetPr>
  <dimension ref="A1:E43"/>
  <sheetViews>
    <sheetView workbookViewId="0"/>
  </sheetViews>
  <sheetFormatPr defaultRowHeight="15"/>
  <cols>
    <col min="1" max="1" width="6.42578125" customWidth="1"/>
    <col min="2" max="2" width="47.140625" customWidth="1"/>
    <col min="3" max="5" width="11.5703125" customWidth="1"/>
  </cols>
  <sheetData>
    <row r="1" spans="1:5" ht="15.75">
      <c r="E1" s="26" t="s">
        <v>603</v>
      </c>
    </row>
    <row r="2" spans="1:5" ht="40.5" customHeight="1">
      <c r="A2" s="781" t="s">
        <v>668</v>
      </c>
      <c r="B2" s="781"/>
      <c r="C2" s="781"/>
      <c r="D2" s="781"/>
      <c r="E2" s="781"/>
    </row>
    <row r="3" spans="1:5" ht="15.75">
      <c r="A3" s="781" t="s">
        <v>458</v>
      </c>
      <c r="B3" s="781"/>
      <c r="C3" s="781"/>
      <c r="D3" s="781"/>
      <c r="E3" s="781"/>
    </row>
    <row r="4" spans="1:5" ht="15.75">
      <c r="E4" s="27" t="s">
        <v>56</v>
      </c>
    </row>
    <row r="5" spans="1:5" ht="31.5">
      <c r="A5" s="30" t="s">
        <v>3</v>
      </c>
      <c r="B5" s="30" t="s">
        <v>4</v>
      </c>
      <c r="C5" s="30" t="s">
        <v>582</v>
      </c>
      <c r="D5" s="30" t="s">
        <v>661</v>
      </c>
      <c r="E5" s="30" t="s">
        <v>346</v>
      </c>
    </row>
    <row r="6" spans="1:5" ht="15.75">
      <c r="A6" s="30" t="s">
        <v>15</v>
      </c>
      <c r="B6" s="30" t="s">
        <v>16</v>
      </c>
      <c r="C6" s="30">
        <v>1</v>
      </c>
      <c r="D6" s="30">
        <v>2</v>
      </c>
      <c r="E6" s="30">
        <v>3</v>
      </c>
    </row>
    <row r="7" spans="1:5" ht="15.75">
      <c r="A7" s="30" t="s">
        <v>15</v>
      </c>
      <c r="B7" s="31" t="s">
        <v>459</v>
      </c>
      <c r="C7" s="29"/>
      <c r="D7" s="29"/>
      <c r="E7" s="29"/>
    </row>
    <row r="8" spans="1:5" ht="15.75">
      <c r="A8" s="30" t="s">
        <v>83</v>
      </c>
      <c r="B8" s="31" t="s">
        <v>284</v>
      </c>
      <c r="C8" s="29"/>
      <c r="D8" s="29"/>
      <c r="E8" s="29"/>
    </row>
    <row r="9" spans="1:5" ht="15.75">
      <c r="A9" s="29">
        <v>1</v>
      </c>
      <c r="B9" s="32" t="s">
        <v>285</v>
      </c>
      <c r="C9" s="29"/>
      <c r="D9" s="29"/>
      <c r="E9" s="29"/>
    </row>
    <row r="10" spans="1:5" ht="15.75">
      <c r="A10" s="29">
        <v>2</v>
      </c>
      <c r="B10" s="32" t="s">
        <v>286</v>
      </c>
      <c r="C10" s="29"/>
      <c r="D10" s="29"/>
      <c r="E10" s="29"/>
    </row>
    <row r="11" spans="1:5" ht="15.75">
      <c r="A11" s="29" t="s">
        <v>22</v>
      </c>
      <c r="B11" s="32" t="s">
        <v>669</v>
      </c>
      <c r="C11" s="29"/>
      <c r="D11" s="29"/>
      <c r="E11" s="29"/>
    </row>
    <row r="12" spans="1:5" ht="15.75">
      <c r="A12" s="29" t="s">
        <v>22</v>
      </c>
      <c r="B12" s="32" t="s">
        <v>670</v>
      </c>
      <c r="C12" s="29"/>
      <c r="D12" s="29"/>
      <c r="E12" s="29"/>
    </row>
    <row r="13" spans="1:5" ht="15.75">
      <c r="A13" s="29">
        <v>3</v>
      </c>
      <c r="B13" s="32" t="s">
        <v>460</v>
      </c>
      <c r="C13" s="29"/>
      <c r="D13" s="29"/>
      <c r="E13" s="29"/>
    </row>
    <row r="14" spans="1:5" ht="15.75">
      <c r="A14" s="29">
        <v>4</v>
      </c>
      <c r="B14" s="32" t="s">
        <v>287</v>
      </c>
      <c r="C14" s="29"/>
      <c r="D14" s="29"/>
      <c r="E14" s="29"/>
    </row>
    <row r="15" spans="1:5" ht="15.75">
      <c r="A15" s="29">
        <v>5</v>
      </c>
      <c r="B15" s="32" t="s">
        <v>237</v>
      </c>
      <c r="C15" s="29"/>
      <c r="D15" s="29"/>
      <c r="E15" s="29"/>
    </row>
    <row r="16" spans="1:5" ht="15.75">
      <c r="A16" s="30" t="s">
        <v>70</v>
      </c>
      <c r="B16" s="31" t="s">
        <v>288</v>
      </c>
      <c r="C16" s="29"/>
      <c r="D16" s="29"/>
      <c r="E16" s="29"/>
    </row>
    <row r="17" spans="1:5" ht="15.75">
      <c r="A17" s="29">
        <v>1</v>
      </c>
      <c r="B17" s="32" t="s">
        <v>461</v>
      </c>
      <c r="C17" s="29"/>
      <c r="D17" s="29"/>
      <c r="E17" s="29"/>
    </row>
    <row r="18" spans="1:5" ht="15.75">
      <c r="A18" s="29">
        <v>2</v>
      </c>
      <c r="B18" s="32" t="s">
        <v>297</v>
      </c>
      <c r="C18" s="29"/>
      <c r="D18" s="29"/>
      <c r="E18" s="29"/>
    </row>
    <row r="19" spans="1:5" ht="15.75">
      <c r="A19" s="29" t="s">
        <v>22</v>
      </c>
      <c r="B19" s="32" t="s">
        <v>291</v>
      </c>
      <c r="C19" s="29"/>
      <c r="D19" s="29"/>
      <c r="E19" s="29"/>
    </row>
    <row r="20" spans="1:5" ht="15.75">
      <c r="A20" s="29" t="s">
        <v>22</v>
      </c>
      <c r="B20" s="32" t="s">
        <v>292</v>
      </c>
      <c r="C20" s="29"/>
      <c r="D20" s="29"/>
      <c r="E20" s="29"/>
    </row>
    <row r="21" spans="1:5" ht="15.75">
      <c r="A21" s="29">
        <v>3</v>
      </c>
      <c r="B21" s="32" t="s">
        <v>245</v>
      </c>
      <c r="C21" s="29"/>
      <c r="D21" s="29"/>
      <c r="E21" s="29"/>
    </row>
    <row r="22" spans="1:5" ht="31.5">
      <c r="A22" s="30" t="s">
        <v>73</v>
      </c>
      <c r="B22" s="31" t="s">
        <v>671</v>
      </c>
      <c r="C22" s="29"/>
      <c r="D22" s="29"/>
      <c r="E22" s="29"/>
    </row>
    <row r="23" spans="1:5" ht="15.75">
      <c r="A23" s="30" t="s">
        <v>77</v>
      </c>
      <c r="B23" s="31" t="s">
        <v>672</v>
      </c>
      <c r="C23" s="29"/>
      <c r="D23" s="29"/>
      <c r="E23" s="29"/>
    </row>
    <row r="24" spans="1:5" ht="15.75">
      <c r="A24" s="30" t="s">
        <v>16</v>
      </c>
      <c r="B24" s="31" t="s">
        <v>462</v>
      </c>
      <c r="C24" s="29"/>
      <c r="D24" s="29"/>
      <c r="E24" s="29"/>
    </row>
    <row r="25" spans="1:5" ht="15.75">
      <c r="A25" s="30" t="s">
        <v>83</v>
      </c>
      <c r="B25" s="31" t="s">
        <v>284</v>
      </c>
      <c r="C25" s="29"/>
      <c r="D25" s="29"/>
      <c r="E25" s="29"/>
    </row>
    <row r="26" spans="1:5" ht="15.75">
      <c r="A26" s="29">
        <v>1</v>
      </c>
      <c r="B26" s="32" t="s">
        <v>285</v>
      </c>
      <c r="C26" s="29"/>
      <c r="D26" s="29"/>
      <c r="E26" s="29"/>
    </row>
    <row r="27" spans="1:5" ht="15.75">
      <c r="A27" s="29">
        <v>2</v>
      </c>
      <c r="B27" s="32" t="s">
        <v>286</v>
      </c>
      <c r="C27" s="29"/>
      <c r="D27" s="29"/>
      <c r="E27" s="29"/>
    </row>
    <row r="28" spans="1:5" ht="15.75">
      <c r="A28" s="29" t="s">
        <v>22</v>
      </c>
      <c r="B28" s="32" t="s">
        <v>234</v>
      </c>
      <c r="C28" s="29"/>
      <c r="D28" s="29"/>
      <c r="E28" s="29"/>
    </row>
    <row r="29" spans="1:5" ht="15.75">
      <c r="A29" s="29" t="s">
        <v>22</v>
      </c>
      <c r="B29" s="32" t="s">
        <v>88</v>
      </c>
      <c r="C29" s="29"/>
      <c r="D29" s="29"/>
      <c r="E29" s="29"/>
    </row>
    <row r="30" spans="1:5" ht="15.75">
      <c r="A30" s="29">
        <v>3</v>
      </c>
      <c r="B30" s="32" t="s">
        <v>287</v>
      </c>
      <c r="C30" s="29"/>
      <c r="D30" s="29"/>
      <c r="E30" s="29"/>
    </row>
    <row r="31" spans="1:5" ht="15.75">
      <c r="A31" s="29">
        <v>4</v>
      </c>
      <c r="B31" s="32" t="s">
        <v>237</v>
      </c>
      <c r="C31" s="29"/>
      <c r="D31" s="29"/>
      <c r="E31" s="29"/>
    </row>
    <row r="32" spans="1:5" ht="15.75">
      <c r="A32" s="30" t="s">
        <v>70</v>
      </c>
      <c r="B32" s="31" t="s">
        <v>288</v>
      </c>
      <c r="C32" s="29"/>
      <c r="D32" s="29"/>
      <c r="E32" s="29"/>
    </row>
    <row r="33" spans="1:5" ht="15.75">
      <c r="A33" s="29">
        <v>1</v>
      </c>
      <c r="B33" s="32" t="s">
        <v>463</v>
      </c>
      <c r="C33" s="29"/>
      <c r="D33" s="29"/>
      <c r="E33" s="29"/>
    </row>
    <row r="34" spans="1:5" ht="15.75">
      <c r="A34" s="29">
        <v>2</v>
      </c>
      <c r="B34" s="32" t="s">
        <v>571</v>
      </c>
      <c r="C34" s="29"/>
      <c r="D34" s="29"/>
      <c r="E34" s="29"/>
    </row>
    <row r="35" spans="1:5" ht="15.75">
      <c r="A35" s="29" t="s">
        <v>22</v>
      </c>
      <c r="B35" s="32" t="s">
        <v>291</v>
      </c>
      <c r="C35" s="29"/>
      <c r="D35" s="29"/>
      <c r="E35" s="29"/>
    </row>
    <row r="36" spans="1:5" ht="15.75">
      <c r="A36" s="29" t="s">
        <v>22</v>
      </c>
      <c r="B36" s="32" t="s">
        <v>292</v>
      </c>
      <c r="C36" s="29"/>
      <c r="D36" s="29"/>
      <c r="E36" s="29"/>
    </row>
    <row r="37" spans="1:5" ht="15.75">
      <c r="A37" s="29">
        <v>3</v>
      </c>
      <c r="B37" s="32" t="s">
        <v>245</v>
      </c>
      <c r="C37" s="29"/>
      <c r="D37" s="29"/>
      <c r="E37" s="29"/>
    </row>
    <row r="38" spans="1:5" ht="15.75">
      <c r="A38" s="30" t="s">
        <v>73</v>
      </c>
      <c r="B38" s="31" t="s">
        <v>673</v>
      </c>
      <c r="C38" s="29"/>
      <c r="D38" s="29"/>
      <c r="E38" s="29"/>
    </row>
    <row r="39" spans="1:5" ht="15.75">
      <c r="A39" s="28" t="s">
        <v>528</v>
      </c>
    </row>
    <row r="40" spans="1:5" s="39" customFormat="1" ht="43.5" customHeight="1">
      <c r="A40" s="779" t="s">
        <v>674</v>
      </c>
      <c r="B40" s="779"/>
      <c r="C40" s="779"/>
      <c r="D40" s="779"/>
      <c r="E40" s="779"/>
    </row>
    <row r="41" spans="1:5" ht="15.75">
      <c r="A41" s="779" t="s">
        <v>572</v>
      </c>
      <c r="B41" s="779"/>
      <c r="C41" s="779"/>
      <c r="D41" s="779"/>
      <c r="E41" s="779"/>
    </row>
    <row r="42" spans="1:5">
      <c r="A42" s="42"/>
    </row>
    <row r="43" spans="1:5">
      <c r="A43" s="42"/>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4">
    <mergeCell ref="A2:E2"/>
    <mergeCell ref="A3:E3"/>
    <mergeCell ref="A40:E40"/>
    <mergeCell ref="A41:E41"/>
  </mergeCells>
  <pageMargins left="0.7" right="0.7" top="0.75" bottom="0.75" header="0.3" footer="0.3"/>
</worksheet>
</file>

<file path=xl/worksheets/sheet51.xml><?xml version="1.0" encoding="utf-8"?>
<worksheet xmlns="http://schemas.openxmlformats.org/spreadsheetml/2006/main" xmlns:r="http://schemas.openxmlformats.org/officeDocument/2006/relationships">
  <sheetPr>
    <tabColor rgb="FF00B0F0"/>
  </sheetPr>
  <dimension ref="A1:H59"/>
  <sheetViews>
    <sheetView workbookViewId="0"/>
  </sheetViews>
  <sheetFormatPr defaultRowHeight="15"/>
  <cols>
    <col min="1" max="1" width="6.42578125" customWidth="1"/>
    <col min="2" max="2" width="47.42578125" customWidth="1"/>
    <col min="3" max="8" width="10.85546875" customWidth="1"/>
  </cols>
  <sheetData>
    <row r="1" spans="1:8" ht="15.75">
      <c r="H1" s="26" t="s">
        <v>604</v>
      </c>
    </row>
    <row r="2" spans="1:8" ht="15.75">
      <c r="A2" s="781" t="s">
        <v>675</v>
      </c>
      <c r="B2" s="781"/>
      <c r="C2" s="781"/>
      <c r="D2" s="781"/>
      <c r="E2" s="781"/>
      <c r="F2" s="781"/>
      <c r="G2" s="781"/>
      <c r="H2" s="781"/>
    </row>
    <row r="3" spans="1:8" ht="15.75">
      <c r="A3" s="774" t="s">
        <v>126</v>
      </c>
      <c r="B3" s="774"/>
      <c r="C3" s="774"/>
      <c r="D3" s="774"/>
      <c r="E3" s="774"/>
      <c r="F3" s="774"/>
      <c r="G3" s="774"/>
      <c r="H3" s="774"/>
    </row>
    <row r="4" spans="1:8" ht="15.75">
      <c r="H4" s="27" t="s">
        <v>56</v>
      </c>
    </row>
    <row r="5" spans="1:8" ht="15.75">
      <c r="A5" s="773" t="s">
        <v>3</v>
      </c>
      <c r="B5" s="773" t="s">
        <v>4</v>
      </c>
      <c r="C5" s="773" t="s">
        <v>582</v>
      </c>
      <c r="D5" s="773"/>
      <c r="E5" s="773" t="s">
        <v>661</v>
      </c>
      <c r="F5" s="773"/>
      <c r="G5" s="773" t="s">
        <v>346</v>
      </c>
      <c r="H5" s="773"/>
    </row>
    <row r="6" spans="1:8" ht="31.5">
      <c r="A6" s="773"/>
      <c r="B6" s="773"/>
      <c r="C6" s="30" t="s">
        <v>347</v>
      </c>
      <c r="D6" s="30" t="s">
        <v>348</v>
      </c>
      <c r="E6" s="30" t="s">
        <v>347</v>
      </c>
      <c r="F6" s="30" t="s">
        <v>348</v>
      </c>
      <c r="G6" s="30" t="s">
        <v>347</v>
      </c>
      <c r="H6" s="30" t="s">
        <v>348</v>
      </c>
    </row>
    <row r="7" spans="1:8" ht="15.75">
      <c r="A7" s="30" t="s">
        <v>15</v>
      </c>
      <c r="B7" s="30" t="s">
        <v>16</v>
      </c>
      <c r="C7" s="30">
        <v>1</v>
      </c>
      <c r="D7" s="30">
        <v>2</v>
      </c>
      <c r="E7" s="30">
        <v>3</v>
      </c>
      <c r="F7" s="30">
        <v>4</v>
      </c>
      <c r="G7" s="30" t="s">
        <v>349</v>
      </c>
      <c r="H7" s="30" t="s">
        <v>350</v>
      </c>
    </row>
    <row r="8" spans="1:8" ht="15.75">
      <c r="A8" s="30"/>
      <c r="B8" s="31" t="s">
        <v>676</v>
      </c>
      <c r="C8" s="30"/>
      <c r="D8" s="30"/>
      <c r="E8" s="30"/>
      <c r="F8" s="30"/>
      <c r="G8" s="30"/>
      <c r="H8" s="30"/>
    </row>
    <row r="9" spans="1:8" ht="15.75">
      <c r="A9" s="30" t="s">
        <v>15</v>
      </c>
      <c r="B9" s="31" t="s">
        <v>677</v>
      </c>
      <c r="C9" s="29"/>
      <c r="D9" s="29"/>
      <c r="E9" s="29"/>
      <c r="F9" s="29"/>
      <c r="G9" s="29"/>
      <c r="H9" s="29"/>
    </row>
    <row r="10" spans="1:8" ht="15.75">
      <c r="A10" s="30" t="s">
        <v>83</v>
      </c>
      <c r="B10" s="31" t="s">
        <v>65</v>
      </c>
      <c r="C10" s="29"/>
      <c r="D10" s="29"/>
      <c r="E10" s="29"/>
      <c r="F10" s="29"/>
      <c r="G10" s="29"/>
      <c r="H10" s="29"/>
    </row>
    <row r="11" spans="1:8" ht="15.75">
      <c r="A11" s="823">
        <v>1</v>
      </c>
      <c r="B11" s="32" t="s">
        <v>352</v>
      </c>
      <c r="C11" s="823"/>
      <c r="D11" s="823"/>
      <c r="E11" s="823"/>
      <c r="F11" s="823"/>
      <c r="G11" s="823"/>
      <c r="H11" s="823"/>
    </row>
    <row r="12" spans="1:8" ht="15.75">
      <c r="A12" s="823"/>
      <c r="B12" s="32" t="s">
        <v>353</v>
      </c>
      <c r="C12" s="823"/>
      <c r="D12" s="823"/>
      <c r="E12" s="823"/>
      <c r="F12" s="823"/>
      <c r="G12" s="823"/>
      <c r="H12" s="823"/>
    </row>
    <row r="13" spans="1:8" ht="15.75">
      <c r="A13" s="823">
        <v>2</v>
      </c>
      <c r="B13" s="32" t="s">
        <v>678</v>
      </c>
      <c r="C13" s="823"/>
      <c r="D13" s="823"/>
      <c r="E13" s="823"/>
      <c r="F13" s="823"/>
      <c r="G13" s="823"/>
      <c r="H13" s="823"/>
    </row>
    <row r="14" spans="1:8" ht="15.75">
      <c r="A14" s="823"/>
      <c r="B14" s="32" t="s">
        <v>353</v>
      </c>
      <c r="C14" s="823"/>
      <c r="D14" s="823"/>
      <c r="E14" s="823"/>
      <c r="F14" s="823"/>
      <c r="G14" s="823"/>
      <c r="H14" s="823"/>
    </row>
    <row r="15" spans="1:8" ht="31.5">
      <c r="A15" s="823">
        <v>3</v>
      </c>
      <c r="B15" s="32" t="s">
        <v>265</v>
      </c>
      <c r="C15" s="823"/>
      <c r="D15" s="823"/>
      <c r="E15" s="823"/>
      <c r="F15" s="823"/>
      <c r="G15" s="823"/>
      <c r="H15" s="823"/>
    </row>
    <row r="16" spans="1:8" ht="15.75">
      <c r="A16" s="823"/>
      <c r="B16" s="32" t="s">
        <v>353</v>
      </c>
      <c r="C16" s="823"/>
      <c r="D16" s="823"/>
      <c r="E16" s="823"/>
      <c r="F16" s="823"/>
      <c r="G16" s="823"/>
      <c r="H16" s="823"/>
    </row>
    <row r="17" spans="1:8" ht="15.75">
      <c r="A17" s="823">
        <v>4</v>
      </c>
      <c r="B17" s="32" t="s">
        <v>266</v>
      </c>
      <c r="C17" s="823"/>
      <c r="D17" s="823"/>
      <c r="E17" s="823"/>
      <c r="F17" s="823"/>
      <c r="G17" s="823"/>
      <c r="H17" s="823"/>
    </row>
    <row r="18" spans="1:8" ht="15.75">
      <c r="A18" s="823"/>
      <c r="B18" s="32" t="s">
        <v>353</v>
      </c>
      <c r="C18" s="823"/>
      <c r="D18" s="823"/>
      <c r="E18" s="823"/>
      <c r="F18" s="823"/>
      <c r="G18" s="823"/>
      <c r="H18" s="823"/>
    </row>
    <row r="19" spans="1:8" ht="15.75">
      <c r="A19" s="29">
        <v>5</v>
      </c>
      <c r="B19" s="32" t="s">
        <v>267</v>
      </c>
      <c r="C19" s="29"/>
      <c r="D19" s="29"/>
      <c r="E19" s="29"/>
      <c r="F19" s="29"/>
      <c r="G19" s="29"/>
      <c r="H19" s="29"/>
    </row>
    <row r="20" spans="1:8" ht="15.75">
      <c r="A20" s="29">
        <v>6</v>
      </c>
      <c r="B20" s="32" t="s">
        <v>268</v>
      </c>
      <c r="C20" s="29"/>
      <c r="D20" s="29"/>
      <c r="E20" s="29"/>
      <c r="F20" s="29"/>
      <c r="G20" s="29"/>
      <c r="H20" s="29"/>
    </row>
    <row r="21" spans="1:8" ht="31.5">
      <c r="A21" s="29" t="s">
        <v>22</v>
      </c>
      <c r="B21" s="33" t="s">
        <v>679</v>
      </c>
      <c r="C21" s="29"/>
      <c r="D21" s="29"/>
      <c r="E21" s="29"/>
      <c r="F21" s="29"/>
      <c r="G21" s="29"/>
      <c r="H21" s="29"/>
    </row>
    <row r="22" spans="1:8" ht="15.75">
      <c r="A22" s="29" t="s">
        <v>22</v>
      </c>
      <c r="B22" s="33" t="s">
        <v>376</v>
      </c>
      <c r="C22" s="29"/>
      <c r="D22" s="29"/>
      <c r="E22" s="29"/>
      <c r="F22" s="29"/>
      <c r="G22" s="29"/>
      <c r="H22" s="29"/>
    </row>
    <row r="23" spans="1:8" ht="15.75">
      <c r="A23" s="29">
        <v>7</v>
      </c>
      <c r="B23" s="32" t="s">
        <v>415</v>
      </c>
      <c r="C23" s="29"/>
      <c r="D23" s="29"/>
      <c r="E23" s="29"/>
      <c r="F23" s="29"/>
      <c r="G23" s="29"/>
      <c r="H23" s="29"/>
    </row>
    <row r="24" spans="1:8" ht="15.75">
      <c r="A24" s="29">
        <v>8</v>
      </c>
      <c r="B24" s="32" t="s">
        <v>680</v>
      </c>
      <c r="C24" s="29"/>
      <c r="D24" s="29"/>
      <c r="E24" s="29"/>
      <c r="F24" s="29"/>
      <c r="G24" s="29"/>
      <c r="H24" s="29"/>
    </row>
    <row r="25" spans="1:8" ht="15.75">
      <c r="A25" s="29" t="s">
        <v>22</v>
      </c>
      <c r="B25" s="33" t="s">
        <v>416</v>
      </c>
      <c r="C25" s="29"/>
      <c r="D25" s="29"/>
      <c r="E25" s="29"/>
      <c r="F25" s="29"/>
      <c r="G25" s="29"/>
      <c r="H25" s="29"/>
    </row>
    <row r="26" spans="1:8" ht="15.75">
      <c r="A26" s="29" t="s">
        <v>22</v>
      </c>
      <c r="B26" s="33" t="s">
        <v>417</v>
      </c>
      <c r="C26" s="29"/>
      <c r="D26" s="29"/>
      <c r="E26" s="29"/>
      <c r="F26" s="29"/>
      <c r="G26" s="29"/>
      <c r="H26" s="29"/>
    </row>
    <row r="27" spans="1:8" ht="15.75">
      <c r="A27" s="29" t="s">
        <v>22</v>
      </c>
      <c r="B27" s="33" t="s">
        <v>418</v>
      </c>
      <c r="C27" s="29"/>
      <c r="D27" s="29"/>
      <c r="E27" s="29"/>
      <c r="F27" s="29"/>
      <c r="G27" s="29"/>
      <c r="H27" s="29"/>
    </row>
    <row r="28" spans="1:8" ht="15.75">
      <c r="A28" s="29" t="s">
        <v>22</v>
      </c>
      <c r="B28" s="33" t="s">
        <v>681</v>
      </c>
      <c r="C28" s="29"/>
      <c r="D28" s="29"/>
      <c r="E28" s="29"/>
      <c r="F28" s="29"/>
      <c r="G28" s="29"/>
      <c r="H28" s="29"/>
    </row>
    <row r="29" spans="1:8" ht="15.75">
      <c r="A29" s="29">
        <v>9</v>
      </c>
      <c r="B29" s="32" t="s">
        <v>361</v>
      </c>
      <c r="C29" s="29"/>
      <c r="D29" s="29"/>
      <c r="E29" s="29"/>
      <c r="F29" s="29"/>
      <c r="G29" s="29"/>
      <c r="H29" s="29"/>
    </row>
    <row r="30" spans="1:8" ht="15.75">
      <c r="A30" s="29">
        <v>10</v>
      </c>
      <c r="B30" s="32" t="s">
        <v>362</v>
      </c>
      <c r="C30" s="29"/>
      <c r="D30" s="29"/>
      <c r="E30" s="29"/>
      <c r="F30" s="29"/>
      <c r="G30" s="29"/>
      <c r="H30" s="29"/>
    </row>
    <row r="31" spans="1:8" ht="15.75">
      <c r="A31" s="29">
        <v>11</v>
      </c>
      <c r="B31" s="32" t="s">
        <v>363</v>
      </c>
      <c r="C31" s="29"/>
      <c r="D31" s="29"/>
      <c r="E31" s="29"/>
      <c r="F31" s="29"/>
      <c r="G31" s="29"/>
      <c r="H31" s="29"/>
    </row>
    <row r="32" spans="1:8" ht="15.75">
      <c r="A32" s="29">
        <v>12</v>
      </c>
      <c r="B32" s="32" t="s">
        <v>270</v>
      </c>
      <c r="C32" s="29"/>
      <c r="D32" s="29"/>
      <c r="E32" s="29"/>
      <c r="F32" s="29"/>
      <c r="G32" s="29"/>
      <c r="H32" s="29"/>
    </row>
    <row r="33" spans="1:8" ht="31.5">
      <c r="A33" s="29">
        <v>13</v>
      </c>
      <c r="B33" s="32" t="s">
        <v>682</v>
      </c>
      <c r="C33" s="29"/>
      <c r="D33" s="29"/>
      <c r="E33" s="29"/>
      <c r="F33" s="29"/>
      <c r="G33" s="29"/>
      <c r="H33" s="29"/>
    </row>
    <row r="34" spans="1:8" ht="15.75">
      <c r="A34" s="823">
        <v>14</v>
      </c>
      <c r="B34" s="32" t="s">
        <v>365</v>
      </c>
      <c r="C34" s="823"/>
      <c r="D34" s="823"/>
      <c r="E34" s="823"/>
      <c r="F34" s="823"/>
      <c r="G34" s="823"/>
      <c r="H34" s="823"/>
    </row>
    <row r="35" spans="1:8" ht="15.75">
      <c r="A35" s="823"/>
      <c r="B35" s="32" t="s">
        <v>353</v>
      </c>
      <c r="C35" s="823"/>
      <c r="D35" s="823"/>
      <c r="E35" s="823"/>
      <c r="F35" s="823"/>
      <c r="G35" s="823"/>
      <c r="H35" s="823"/>
    </row>
    <row r="36" spans="1:8" ht="15.75">
      <c r="A36" s="29">
        <v>15</v>
      </c>
      <c r="B36" s="32" t="s">
        <v>366</v>
      </c>
      <c r="C36" s="29"/>
      <c r="D36" s="29"/>
      <c r="E36" s="29"/>
      <c r="F36" s="29"/>
      <c r="G36" s="29"/>
      <c r="H36" s="29"/>
    </row>
    <row r="37" spans="1:8" ht="15.75">
      <c r="A37" s="29">
        <v>16</v>
      </c>
      <c r="B37" s="32" t="s">
        <v>367</v>
      </c>
      <c r="C37" s="29"/>
      <c r="D37" s="29"/>
      <c r="E37" s="29"/>
      <c r="F37" s="29"/>
      <c r="G37" s="29"/>
      <c r="H37" s="29"/>
    </row>
    <row r="38" spans="1:8" ht="15.75">
      <c r="A38" s="29">
        <v>17</v>
      </c>
      <c r="B38" s="32" t="s">
        <v>368</v>
      </c>
      <c r="C38" s="29"/>
      <c r="D38" s="29"/>
      <c r="E38" s="29"/>
      <c r="F38" s="29"/>
      <c r="G38" s="29"/>
      <c r="H38" s="29"/>
    </row>
    <row r="39" spans="1:8" ht="15.75">
      <c r="A39" s="29">
        <v>18</v>
      </c>
      <c r="B39" s="32" t="s">
        <v>369</v>
      </c>
      <c r="C39" s="29"/>
      <c r="D39" s="29"/>
      <c r="E39" s="29"/>
      <c r="F39" s="29"/>
      <c r="G39" s="29"/>
      <c r="H39" s="29"/>
    </row>
    <row r="40" spans="1:8" ht="47.25">
      <c r="A40" s="29">
        <v>19</v>
      </c>
      <c r="B40" s="32" t="s">
        <v>683</v>
      </c>
      <c r="C40" s="29"/>
      <c r="D40" s="29"/>
      <c r="E40" s="29"/>
      <c r="F40" s="29"/>
      <c r="G40" s="29"/>
      <c r="H40" s="29"/>
    </row>
    <row r="41" spans="1:8" ht="15.75">
      <c r="A41" s="29">
        <v>20</v>
      </c>
      <c r="B41" s="32" t="s">
        <v>370</v>
      </c>
      <c r="C41" s="29"/>
      <c r="D41" s="29"/>
      <c r="E41" s="29"/>
      <c r="F41" s="29"/>
      <c r="G41" s="29"/>
      <c r="H41" s="29"/>
    </row>
    <row r="42" spans="1:8" ht="15.75">
      <c r="A42" s="30" t="s">
        <v>70</v>
      </c>
      <c r="B42" s="31" t="s">
        <v>273</v>
      </c>
      <c r="C42" s="29"/>
      <c r="D42" s="29"/>
      <c r="E42" s="29"/>
      <c r="F42" s="29"/>
      <c r="G42" s="29"/>
      <c r="H42" s="29"/>
    </row>
    <row r="43" spans="1:8" ht="15.75">
      <c r="A43" s="30" t="s">
        <v>73</v>
      </c>
      <c r="B43" s="31" t="s">
        <v>684</v>
      </c>
      <c r="C43" s="29"/>
      <c r="D43" s="29"/>
      <c r="E43" s="29"/>
      <c r="F43" s="29"/>
      <c r="G43" s="29"/>
      <c r="H43" s="29"/>
    </row>
    <row r="44" spans="1:8" ht="15.75">
      <c r="A44" s="29">
        <v>1</v>
      </c>
      <c r="B44" s="32" t="s">
        <v>422</v>
      </c>
      <c r="C44" s="29"/>
      <c r="D44" s="29"/>
      <c r="E44" s="29"/>
      <c r="F44" s="29"/>
      <c r="G44" s="29"/>
      <c r="H44" s="29"/>
    </row>
    <row r="45" spans="1:8" ht="15.75">
      <c r="A45" s="29">
        <v>2</v>
      </c>
      <c r="B45" s="32" t="s">
        <v>374</v>
      </c>
      <c r="C45" s="29"/>
      <c r="D45" s="29"/>
      <c r="E45" s="29"/>
      <c r="F45" s="29"/>
      <c r="G45" s="29"/>
      <c r="H45" s="29"/>
    </row>
    <row r="46" spans="1:8" ht="15.75">
      <c r="A46" s="29">
        <v>3</v>
      </c>
      <c r="B46" s="32" t="s">
        <v>685</v>
      </c>
      <c r="C46" s="29"/>
      <c r="D46" s="29"/>
      <c r="E46" s="29"/>
      <c r="F46" s="29"/>
      <c r="G46" s="29"/>
      <c r="H46" s="29"/>
    </row>
    <row r="47" spans="1:8" ht="15.75">
      <c r="A47" s="29">
        <v>4</v>
      </c>
      <c r="B47" s="32" t="s">
        <v>686</v>
      </c>
      <c r="C47" s="29"/>
      <c r="D47" s="29"/>
      <c r="E47" s="29"/>
      <c r="F47" s="29"/>
      <c r="G47" s="29"/>
      <c r="H47" s="29"/>
    </row>
    <row r="48" spans="1:8" ht="15.75">
      <c r="A48" s="29">
        <v>5</v>
      </c>
      <c r="B48" s="32" t="s">
        <v>687</v>
      </c>
      <c r="C48" s="29"/>
      <c r="D48" s="29"/>
      <c r="E48" s="29"/>
      <c r="F48" s="29"/>
      <c r="G48" s="29"/>
      <c r="H48" s="29"/>
    </row>
    <row r="49" spans="1:8" ht="15.75">
      <c r="A49" s="29">
        <v>6</v>
      </c>
      <c r="B49" s="32" t="s">
        <v>377</v>
      </c>
      <c r="C49" s="29"/>
      <c r="D49" s="29"/>
      <c r="E49" s="29"/>
      <c r="F49" s="29"/>
      <c r="G49" s="29"/>
      <c r="H49" s="29"/>
    </row>
    <row r="50" spans="1:8" ht="15.75">
      <c r="A50" s="30" t="s">
        <v>77</v>
      </c>
      <c r="B50" s="31" t="s">
        <v>378</v>
      </c>
      <c r="C50" s="29"/>
      <c r="D50" s="29"/>
      <c r="E50" s="29"/>
      <c r="F50" s="29"/>
      <c r="G50" s="29"/>
      <c r="H50" s="29"/>
    </row>
    <row r="51" spans="1:8" ht="15.75">
      <c r="A51" s="30" t="s">
        <v>16</v>
      </c>
      <c r="B51" s="31" t="s">
        <v>688</v>
      </c>
      <c r="C51" s="29"/>
      <c r="D51" s="29"/>
      <c r="E51" s="29"/>
      <c r="F51" s="29"/>
      <c r="G51" s="29"/>
      <c r="H51" s="29"/>
    </row>
    <row r="52" spans="1:8" ht="15.75">
      <c r="A52" s="30" t="s">
        <v>79</v>
      </c>
      <c r="B52" s="31" t="s">
        <v>689</v>
      </c>
      <c r="C52" s="29"/>
      <c r="D52" s="29"/>
      <c r="E52" s="29"/>
      <c r="F52" s="29"/>
      <c r="G52" s="29"/>
      <c r="H52" s="29"/>
    </row>
    <row r="53" spans="1:8" ht="31.5">
      <c r="A53" s="30" t="s">
        <v>89</v>
      </c>
      <c r="B53" s="31" t="s">
        <v>690</v>
      </c>
      <c r="C53" s="29"/>
      <c r="D53" s="29"/>
      <c r="E53" s="29"/>
      <c r="F53" s="29"/>
      <c r="G53" s="29"/>
      <c r="H53" s="29"/>
    </row>
    <row r="54" spans="1:8" ht="21" customHeight="1">
      <c r="A54" s="28" t="s">
        <v>276</v>
      </c>
    </row>
    <row r="55" spans="1:8" ht="36.75" customHeight="1">
      <c r="A55" s="779" t="s">
        <v>423</v>
      </c>
      <c r="B55" s="779"/>
      <c r="C55" s="779"/>
      <c r="D55" s="779"/>
      <c r="E55" s="779"/>
      <c r="F55" s="779"/>
      <c r="G55" s="779"/>
      <c r="H55" s="779"/>
    </row>
    <row r="56" spans="1:8" ht="36.75" customHeight="1">
      <c r="A56" s="779" t="s">
        <v>424</v>
      </c>
      <c r="B56" s="779"/>
      <c r="C56" s="779"/>
      <c r="D56" s="779"/>
      <c r="E56" s="779"/>
      <c r="F56" s="779"/>
      <c r="G56" s="779"/>
      <c r="H56" s="779"/>
    </row>
    <row r="57" spans="1:8" ht="49.5" customHeight="1">
      <c r="A57" s="779" t="s">
        <v>425</v>
      </c>
      <c r="B57" s="779"/>
      <c r="C57" s="779"/>
      <c r="D57" s="779"/>
      <c r="E57" s="779"/>
      <c r="F57" s="779"/>
      <c r="G57" s="779"/>
      <c r="H57" s="779"/>
    </row>
    <row r="58" spans="1:8" ht="49.5" customHeight="1">
      <c r="A58" s="779" t="s">
        <v>379</v>
      </c>
      <c r="B58" s="779"/>
      <c r="C58" s="779"/>
      <c r="D58" s="779"/>
      <c r="E58" s="779"/>
      <c r="F58" s="779"/>
      <c r="G58" s="779"/>
      <c r="H58" s="779"/>
    </row>
    <row r="59" spans="1:8" ht="69.75" customHeight="1">
      <c r="A59" s="779" t="s">
        <v>380</v>
      </c>
      <c r="B59" s="779"/>
      <c r="C59" s="779"/>
      <c r="D59" s="779"/>
      <c r="E59" s="779"/>
      <c r="F59" s="779"/>
      <c r="G59" s="779"/>
      <c r="H59" s="779"/>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47">
    <mergeCell ref="A58:H58"/>
    <mergeCell ref="A59:H59"/>
    <mergeCell ref="H34:H35"/>
    <mergeCell ref="A2:H2"/>
    <mergeCell ref="A3:H3"/>
    <mergeCell ref="A55:H55"/>
    <mergeCell ref="A56:H56"/>
    <mergeCell ref="A57:H57"/>
    <mergeCell ref="A34:A35"/>
    <mergeCell ref="C34:C35"/>
    <mergeCell ref="D34:D35"/>
    <mergeCell ref="E34:E35"/>
    <mergeCell ref="F34:F35"/>
    <mergeCell ref="G34:G35"/>
    <mergeCell ref="H15:H16"/>
    <mergeCell ref="A17:A18"/>
    <mergeCell ref="H17:H18"/>
    <mergeCell ref="A15:A16"/>
    <mergeCell ref="C15:C16"/>
    <mergeCell ref="D15:D16"/>
    <mergeCell ref="E15:E16"/>
    <mergeCell ref="F15:F16"/>
    <mergeCell ref="G15:G16"/>
    <mergeCell ref="C17:C18"/>
    <mergeCell ref="D17:D18"/>
    <mergeCell ref="E17:E18"/>
    <mergeCell ref="F17:F18"/>
    <mergeCell ref="G17:G18"/>
    <mergeCell ref="G11:G12"/>
    <mergeCell ref="H11:H12"/>
    <mergeCell ref="A13:A14"/>
    <mergeCell ref="C13:C14"/>
    <mergeCell ref="D13:D14"/>
    <mergeCell ref="E13:E14"/>
    <mergeCell ref="F13:F14"/>
    <mergeCell ref="G13:G14"/>
    <mergeCell ref="H13:H14"/>
    <mergeCell ref="A11:A12"/>
    <mergeCell ref="C11:C12"/>
    <mergeCell ref="D11:D12"/>
    <mergeCell ref="E11:E12"/>
    <mergeCell ref="F11:F12"/>
    <mergeCell ref="A5:A6"/>
    <mergeCell ref="B5:B6"/>
    <mergeCell ref="C5:D5"/>
    <mergeCell ref="E5:F5"/>
    <mergeCell ref="G5:H5"/>
  </mergeCells>
  <pageMargins left="0.7" right="0.7" top="0.75" bottom="0.75" header="0.3" footer="0.3"/>
</worksheet>
</file>

<file path=xl/worksheets/sheet52.xml><?xml version="1.0" encoding="utf-8"?>
<worksheet xmlns="http://schemas.openxmlformats.org/spreadsheetml/2006/main" xmlns:r="http://schemas.openxmlformats.org/officeDocument/2006/relationships">
  <sheetPr>
    <tabColor rgb="FF00B0F0"/>
  </sheetPr>
  <dimension ref="A1:E33"/>
  <sheetViews>
    <sheetView workbookViewId="0"/>
  </sheetViews>
  <sheetFormatPr defaultRowHeight="15"/>
  <cols>
    <col min="1" max="1" width="6.42578125" customWidth="1"/>
    <col min="2" max="2" width="50.85546875" customWidth="1"/>
    <col min="3" max="5" width="10.7109375" customWidth="1"/>
  </cols>
  <sheetData>
    <row r="1" spans="1:5" ht="15.75">
      <c r="E1" s="26" t="s">
        <v>605</v>
      </c>
    </row>
    <row r="2" spans="1:5" ht="15.75">
      <c r="A2" s="781" t="s">
        <v>691</v>
      </c>
      <c r="B2" s="781"/>
      <c r="C2" s="781"/>
      <c r="D2" s="781"/>
      <c r="E2" s="781"/>
    </row>
    <row r="3" spans="1:5" ht="15.75">
      <c r="A3" s="781" t="s">
        <v>126</v>
      </c>
      <c r="B3" s="781"/>
      <c r="C3" s="781"/>
      <c r="D3" s="781"/>
      <c r="E3" s="781"/>
    </row>
    <row r="4" spans="1:5" ht="15.75">
      <c r="E4" s="27" t="s">
        <v>56</v>
      </c>
    </row>
    <row r="5" spans="1:5" ht="41.25" customHeight="1">
      <c r="A5" s="30" t="s">
        <v>3</v>
      </c>
      <c r="B5" s="30" t="s">
        <v>329</v>
      </c>
      <c r="C5" s="30" t="s">
        <v>582</v>
      </c>
      <c r="D5" s="30" t="s">
        <v>661</v>
      </c>
      <c r="E5" s="30" t="s">
        <v>346</v>
      </c>
    </row>
    <row r="6" spans="1:5" ht="15.75">
      <c r="A6" s="30" t="s">
        <v>15</v>
      </c>
      <c r="B6" s="30" t="s">
        <v>16</v>
      </c>
      <c r="C6" s="30">
        <v>1</v>
      </c>
      <c r="D6" s="30">
        <v>2</v>
      </c>
      <c r="E6" s="30" t="s">
        <v>258</v>
      </c>
    </row>
    <row r="7" spans="1:5" ht="15.75">
      <c r="A7" s="30"/>
      <c r="B7" s="31" t="s">
        <v>692</v>
      </c>
      <c r="C7" s="32"/>
      <c r="D7" s="32"/>
      <c r="E7" s="32"/>
    </row>
    <row r="8" spans="1:5" ht="15.75">
      <c r="A8" s="30" t="s">
        <v>15</v>
      </c>
      <c r="B8" s="31" t="s">
        <v>693</v>
      </c>
      <c r="C8" s="32"/>
      <c r="D8" s="32"/>
      <c r="E8" s="32"/>
    </row>
    <row r="9" spans="1:5" ht="15.75">
      <c r="A9" s="30" t="s">
        <v>83</v>
      </c>
      <c r="B9" s="31" t="s">
        <v>340</v>
      </c>
      <c r="C9" s="32"/>
      <c r="D9" s="32"/>
      <c r="E9" s="32"/>
    </row>
    <row r="10" spans="1:5" ht="15.75">
      <c r="A10" s="29">
        <v>1</v>
      </c>
      <c r="B10" s="32" t="s">
        <v>694</v>
      </c>
      <c r="C10" s="32"/>
      <c r="D10" s="32"/>
      <c r="E10" s="32"/>
    </row>
    <row r="11" spans="1:5" ht="15.75">
      <c r="A11" s="29"/>
      <c r="B11" s="33" t="s">
        <v>388</v>
      </c>
      <c r="C11" s="32"/>
      <c r="D11" s="32"/>
      <c r="E11" s="32"/>
    </row>
    <row r="12" spans="1:5" ht="15.75">
      <c r="A12" s="29" t="s">
        <v>22</v>
      </c>
      <c r="B12" s="33" t="s">
        <v>389</v>
      </c>
      <c r="C12" s="32"/>
      <c r="D12" s="32"/>
      <c r="E12" s="32"/>
    </row>
    <row r="13" spans="1:5" ht="15.75">
      <c r="A13" s="29" t="s">
        <v>22</v>
      </c>
      <c r="B13" s="33" t="s">
        <v>580</v>
      </c>
      <c r="C13" s="32"/>
      <c r="D13" s="32"/>
      <c r="E13" s="32"/>
    </row>
    <row r="14" spans="1:5" ht="15.75">
      <c r="A14" s="29"/>
      <c r="B14" s="33" t="s">
        <v>391</v>
      </c>
      <c r="C14" s="32"/>
      <c r="D14" s="32"/>
      <c r="E14" s="32"/>
    </row>
    <row r="15" spans="1:5" ht="15.75">
      <c r="A15" s="29" t="s">
        <v>22</v>
      </c>
      <c r="B15" s="33" t="s">
        <v>392</v>
      </c>
      <c r="C15" s="32"/>
      <c r="D15" s="32"/>
      <c r="E15" s="32"/>
    </row>
    <row r="16" spans="1:5" ht="15.75">
      <c r="A16" s="29" t="s">
        <v>22</v>
      </c>
      <c r="B16" s="33" t="s">
        <v>499</v>
      </c>
      <c r="C16" s="32"/>
      <c r="D16" s="32"/>
      <c r="E16" s="32"/>
    </row>
    <row r="17" spans="1:5" ht="63">
      <c r="A17" s="29">
        <v>2</v>
      </c>
      <c r="B17" s="32" t="s">
        <v>394</v>
      </c>
      <c r="C17" s="32"/>
      <c r="D17" s="32"/>
      <c r="E17" s="32"/>
    </row>
    <row r="18" spans="1:5" ht="15.75">
      <c r="A18" s="29">
        <v>3</v>
      </c>
      <c r="B18" s="32" t="s">
        <v>395</v>
      </c>
      <c r="C18" s="32"/>
      <c r="D18" s="32"/>
      <c r="E18" s="32"/>
    </row>
    <row r="19" spans="1:5" ht="15.75">
      <c r="A19" s="30" t="s">
        <v>70</v>
      </c>
      <c r="B19" s="31" t="s">
        <v>96</v>
      </c>
      <c r="C19" s="32"/>
      <c r="D19" s="32"/>
      <c r="E19" s="32"/>
    </row>
    <row r="20" spans="1:5" ht="15.75">
      <c r="A20" s="29"/>
      <c r="B20" s="33" t="s">
        <v>134</v>
      </c>
      <c r="C20" s="32"/>
      <c r="D20" s="32"/>
      <c r="E20" s="32"/>
    </row>
    <row r="21" spans="1:5" ht="15.75">
      <c r="A21" s="29">
        <v>1</v>
      </c>
      <c r="B21" s="33" t="s">
        <v>389</v>
      </c>
      <c r="C21" s="32"/>
      <c r="D21" s="32"/>
      <c r="E21" s="32"/>
    </row>
    <row r="22" spans="1:5" ht="15.75">
      <c r="A22" s="29">
        <v>2</v>
      </c>
      <c r="B22" s="33" t="s">
        <v>390</v>
      </c>
      <c r="C22" s="32"/>
      <c r="D22" s="32"/>
      <c r="E22" s="32"/>
    </row>
    <row r="23" spans="1:5" ht="31.5">
      <c r="A23" s="30" t="s">
        <v>73</v>
      </c>
      <c r="B23" s="31" t="s">
        <v>97</v>
      </c>
      <c r="C23" s="32"/>
      <c r="D23" s="32"/>
      <c r="E23" s="32"/>
    </row>
    <row r="24" spans="1:5" ht="15.75">
      <c r="A24" s="30" t="s">
        <v>77</v>
      </c>
      <c r="B24" s="31" t="s">
        <v>240</v>
      </c>
      <c r="C24" s="32"/>
      <c r="D24" s="32"/>
      <c r="E24" s="32"/>
    </row>
    <row r="25" spans="1:5" ht="15.75">
      <c r="A25" s="30" t="s">
        <v>113</v>
      </c>
      <c r="B25" s="31" t="s">
        <v>241</v>
      </c>
      <c r="C25" s="32"/>
      <c r="D25" s="32"/>
      <c r="E25" s="32"/>
    </row>
    <row r="26" spans="1:5" ht="15.75">
      <c r="A26" s="30" t="s">
        <v>396</v>
      </c>
      <c r="B26" s="31" t="s">
        <v>98</v>
      </c>
      <c r="C26" s="32"/>
      <c r="D26" s="32"/>
      <c r="E26" s="32"/>
    </row>
    <row r="27" spans="1:5" ht="15.75">
      <c r="A27" s="30" t="s">
        <v>16</v>
      </c>
      <c r="B27" s="31" t="s">
        <v>398</v>
      </c>
      <c r="C27" s="32"/>
      <c r="D27" s="32"/>
      <c r="E27" s="32"/>
    </row>
    <row r="28" spans="1:5" ht="15.75">
      <c r="A28" s="30" t="s">
        <v>83</v>
      </c>
      <c r="B28" s="31" t="s">
        <v>243</v>
      </c>
      <c r="C28" s="32"/>
      <c r="D28" s="32"/>
      <c r="E28" s="32"/>
    </row>
    <row r="29" spans="1:5" ht="15.75">
      <c r="A29" s="29"/>
      <c r="B29" s="32" t="s">
        <v>399</v>
      </c>
      <c r="C29" s="32"/>
      <c r="D29" s="32"/>
      <c r="E29" s="32"/>
    </row>
    <row r="30" spans="1:5" ht="15.75">
      <c r="A30" s="30" t="s">
        <v>70</v>
      </c>
      <c r="B30" s="31" t="s">
        <v>581</v>
      </c>
      <c r="C30" s="32"/>
      <c r="D30" s="32"/>
      <c r="E30" s="32"/>
    </row>
    <row r="31" spans="1:5" ht="15.75">
      <c r="A31" s="29"/>
      <c r="B31" s="32" t="s">
        <v>400</v>
      </c>
      <c r="C31" s="32"/>
      <c r="D31" s="32"/>
      <c r="E31" s="32"/>
    </row>
    <row r="32" spans="1:5" ht="15.75">
      <c r="A32" s="30" t="s">
        <v>79</v>
      </c>
      <c r="B32" s="31" t="s">
        <v>430</v>
      </c>
      <c r="C32" s="32"/>
      <c r="D32" s="32"/>
      <c r="E32" s="32"/>
    </row>
    <row r="33" spans="1:5" ht="60" customHeight="1">
      <c r="A33" s="776" t="s">
        <v>500</v>
      </c>
      <c r="B33" s="776"/>
      <c r="C33" s="776"/>
      <c r="D33" s="776"/>
      <c r="E33" s="776"/>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3">
    <mergeCell ref="A33:E33"/>
    <mergeCell ref="A2:E2"/>
    <mergeCell ref="A3:E3"/>
  </mergeCells>
  <pageMargins left="0.7" right="0.7" top="0.75" bottom="0.75" header="0.3" footer="0.3"/>
</worksheet>
</file>

<file path=xl/worksheets/sheet53.xml><?xml version="1.0" encoding="utf-8"?>
<worksheet xmlns="http://schemas.openxmlformats.org/spreadsheetml/2006/main" xmlns:r="http://schemas.openxmlformats.org/officeDocument/2006/relationships">
  <sheetPr>
    <tabColor rgb="FF00B0F0"/>
  </sheetPr>
  <dimension ref="A1:F49"/>
  <sheetViews>
    <sheetView workbookViewId="0"/>
  </sheetViews>
  <sheetFormatPr defaultRowHeight="15"/>
  <cols>
    <col min="1" max="1" width="6.28515625" customWidth="1"/>
    <col min="2" max="2" width="47" customWidth="1"/>
    <col min="3" max="6" width="10.140625" customWidth="1"/>
  </cols>
  <sheetData>
    <row r="1" spans="1:6" ht="15.75">
      <c r="F1" s="26" t="s">
        <v>606</v>
      </c>
    </row>
    <row r="2" spans="1:6" ht="15.75">
      <c r="A2" s="781" t="s">
        <v>695</v>
      </c>
      <c r="B2" s="781"/>
      <c r="C2" s="781"/>
      <c r="D2" s="781"/>
      <c r="E2" s="781"/>
      <c r="F2" s="781"/>
    </row>
    <row r="3" spans="1:6" ht="15.75">
      <c r="A3" s="781" t="s">
        <v>126</v>
      </c>
      <c r="B3" s="781"/>
      <c r="C3" s="781"/>
      <c r="D3" s="781"/>
      <c r="E3" s="781"/>
      <c r="F3" s="781"/>
    </row>
    <row r="4" spans="1:6" ht="15.75">
      <c r="F4" s="27" t="s">
        <v>56</v>
      </c>
    </row>
    <row r="5" spans="1:6" ht="15.75">
      <c r="A5" s="773" t="s">
        <v>3</v>
      </c>
      <c r="B5" s="773" t="s">
        <v>4</v>
      </c>
      <c r="C5" s="773" t="s">
        <v>582</v>
      </c>
      <c r="D5" s="773" t="s">
        <v>661</v>
      </c>
      <c r="E5" s="773" t="s">
        <v>226</v>
      </c>
      <c r="F5" s="773"/>
    </row>
    <row r="6" spans="1:6" ht="31.5">
      <c r="A6" s="773"/>
      <c r="B6" s="773"/>
      <c r="C6" s="773"/>
      <c r="D6" s="773"/>
      <c r="E6" s="30" t="s">
        <v>227</v>
      </c>
      <c r="F6" s="30" t="s">
        <v>385</v>
      </c>
    </row>
    <row r="7" spans="1:6" ht="15.75">
      <c r="A7" s="30" t="s">
        <v>15</v>
      </c>
      <c r="B7" s="30" t="s">
        <v>16</v>
      </c>
      <c r="C7" s="30">
        <v>1</v>
      </c>
      <c r="D7" s="30">
        <v>2</v>
      </c>
      <c r="E7" s="30" t="s">
        <v>332</v>
      </c>
      <c r="F7" s="30" t="s">
        <v>333</v>
      </c>
    </row>
    <row r="8" spans="1:6" ht="15.75">
      <c r="A8" s="30"/>
      <c r="B8" s="31" t="s">
        <v>90</v>
      </c>
      <c r="C8" s="29"/>
      <c r="D8" s="29"/>
      <c r="E8" s="29"/>
      <c r="F8" s="29"/>
    </row>
    <row r="9" spans="1:6" ht="31.5">
      <c r="A9" s="30" t="s">
        <v>15</v>
      </c>
      <c r="B9" s="31" t="s">
        <v>502</v>
      </c>
      <c r="C9" s="29"/>
      <c r="D9" s="29"/>
      <c r="E9" s="29"/>
      <c r="F9" s="29"/>
    </row>
    <row r="10" spans="1:6" ht="31.5">
      <c r="A10" s="30" t="s">
        <v>16</v>
      </c>
      <c r="B10" s="31" t="s">
        <v>503</v>
      </c>
      <c r="C10" s="29"/>
      <c r="D10" s="29"/>
      <c r="E10" s="29"/>
      <c r="F10" s="29"/>
    </row>
    <row r="11" spans="1:6" ht="15.75">
      <c r="A11" s="30" t="s">
        <v>83</v>
      </c>
      <c r="B11" s="31" t="s">
        <v>504</v>
      </c>
      <c r="C11" s="29"/>
      <c r="D11" s="29"/>
      <c r="E11" s="29"/>
      <c r="F11" s="29"/>
    </row>
    <row r="12" spans="1:6" ht="15.75">
      <c r="A12" s="29">
        <v>1</v>
      </c>
      <c r="B12" s="32" t="s">
        <v>387</v>
      </c>
      <c r="C12" s="29"/>
      <c r="D12" s="29"/>
      <c r="E12" s="29"/>
      <c r="F12" s="29"/>
    </row>
    <row r="13" spans="1:6" ht="15.75">
      <c r="A13" s="29" t="s">
        <v>22</v>
      </c>
      <c r="B13" s="32" t="s">
        <v>389</v>
      </c>
      <c r="C13" s="29"/>
      <c r="D13" s="29"/>
      <c r="E13" s="29"/>
      <c r="F13" s="29"/>
    </row>
    <row r="14" spans="1:6" ht="15.75">
      <c r="A14" s="29" t="s">
        <v>22</v>
      </c>
      <c r="B14" s="32" t="s">
        <v>390</v>
      </c>
      <c r="C14" s="29"/>
      <c r="D14" s="29"/>
      <c r="E14" s="29"/>
      <c r="F14" s="29"/>
    </row>
    <row r="15" spans="1:6" ht="15.75">
      <c r="A15" s="29" t="s">
        <v>22</v>
      </c>
      <c r="B15" s="32" t="s">
        <v>505</v>
      </c>
      <c r="C15" s="29"/>
      <c r="D15" s="29"/>
      <c r="E15" s="29"/>
      <c r="F15" s="29"/>
    </row>
    <row r="16" spans="1:6" ht="15.75">
      <c r="A16" s="29" t="s">
        <v>22</v>
      </c>
      <c r="B16" s="32" t="s">
        <v>506</v>
      </c>
      <c r="C16" s="29"/>
      <c r="D16" s="29"/>
      <c r="E16" s="29"/>
      <c r="F16" s="29"/>
    </row>
    <row r="17" spans="1:6" ht="15.75">
      <c r="A17" s="29" t="s">
        <v>22</v>
      </c>
      <c r="B17" s="32" t="s">
        <v>507</v>
      </c>
      <c r="C17" s="29"/>
      <c r="D17" s="29"/>
      <c r="E17" s="29"/>
      <c r="F17" s="29"/>
    </row>
    <row r="18" spans="1:6" ht="15.75">
      <c r="A18" s="29" t="s">
        <v>22</v>
      </c>
      <c r="B18" s="32" t="s">
        <v>508</v>
      </c>
      <c r="C18" s="29"/>
      <c r="D18" s="29"/>
      <c r="E18" s="29"/>
      <c r="F18" s="29"/>
    </row>
    <row r="19" spans="1:6" ht="15.75">
      <c r="A19" s="29" t="s">
        <v>22</v>
      </c>
      <c r="B19" s="32" t="s">
        <v>509</v>
      </c>
      <c r="C19" s="29"/>
      <c r="D19" s="29"/>
      <c r="E19" s="29"/>
      <c r="F19" s="29"/>
    </row>
    <row r="20" spans="1:6" ht="15.75">
      <c r="A20" s="29" t="s">
        <v>22</v>
      </c>
      <c r="B20" s="32" t="s">
        <v>510</v>
      </c>
      <c r="C20" s="29"/>
      <c r="D20" s="29"/>
      <c r="E20" s="29"/>
      <c r="F20" s="29"/>
    </row>
    <row r="21" spans="1:6" ht="15.75">
      <c r="A21" s="29" t="s">
        <v>22</v>
      </c>
      <c r="B21" s="32" t="s">
        <v>511</v>
      </c>
      <c r="C21" s="29"/>
      <c r="D21" s="29"/>
      <c r="E21" s="29"/>
      <c r="F21" s="29"/>
    </row>
    <row r="22" spans="1:6" ht="15.75">
      <c r="A22" s="29" t="s">
        <v>22</v>
      </c>
      <c r="B22" s="32" t="s">
        <v>512</v>
      </c>
      <c r="C22" s="29"/>
      <c r="D22" s="29"/>
      <c r="E22" s="29"/>
      <c r="F22" s="29"/>
    </row>
    <row r="23" spans="1:6" ht="31.5">
      <c r="A23" s="29" t="s">
        <v>22</v>
      </c>
      <c r="B23" s="32" t="s">
        <v>513</v>
      </c>
      <c r="C23" s="29"/>
      <c r="D23" s="29"/>
      <c r="E23" s="29"/>
      <c r="F23" s="29"/>
    </row>
    <row r="24" spans="1:6" ht="15.75">
      <c r="A24" s="29" t="s">
        <v>22</v>
      </c>
      <c r="B24" s="32" t="s">
        <v>514</v>
      </c>
      <c r="C24" s="29"/>
      <c r="D24" s="29"/>
      <c r="E24" s="29"/>
      <c r="F24" s="29"/>
    </row>
    <row r="25" spans="1:6" ht="15.75">
      <c r="A25" s="29" t="s">
        <v>22</v>
      </c>
      <c r="B25" s="32" t="s">
        <v>515</v>
      </c>
      <c r="C25" s="29"/>
      <c r="D25" s="29"/>
      <c r="E25" s="29"/>
      <c r="F25" s="29"/>
    </row>
    <row r="26" spans="1:6" ht="63">
      <c r="A26" s="29">
        <v>2</v>
      </c>
      <c r="B26" s="32" t="s">
        <v>394</v>
      </c>
      <c r="C26" s="29"/>
      <c r="D26" s="29"/>
      <c r="E26" s="29"/>
      <c r="F26" s="29"/>
    </row>
    <row r="27" spans="1:6" ht="15.75">
      <c r="A27" s="29">
        <v>3</v>
      </c>
      <c r="B27" s="32" t="s">
        <v>395</v>
      </c>
      <c r="C27" s="29"/>
      <c r="D27" s="29"/>
      <c r="E27" s="29"/>
      <c r="F27" s="29"/>
    </row>
    <row r="28" spans="1:6" ht="15.75">
      <c r="A28" s="30" t="s">
        <v>70</v>
      </c>
      <c r="B28" s="31" t="s">
        <v>96</v>
      </c>
      <c r="C28" s="29"/>
      <c r="D28" s="29"/>
      <c r="E28" s="29"/>
      <c r="F28" s="29"/>
    </row>
    <row r="29" spans="1:6" ht="15.75">
      <c r="A29" s="29" t="s">
        <v>22</v>
      </c>
      <c r="B29" s="32" t="s">
        <v>389</v>
      </c>
      <c r="C29" s="29"/>
      <c r="D29" s="29"/>
      <c r="E29" s="29"/>
      <c r="F29" s="29"/>
    </row>
    <row r="30" spans="1:6" ht="15.75">
      <c r="A30" s="29" t="s">
        <v>22</v>
      </c>
      <c r="B30" s="32" t="s">
        <v>429</v>
      </c>
      <c r="C30" s="29"/>
      <c r="D30" s="29"/>
      <c r="E30" s="29"/>
      <c r="F30" s="29"/>
    </row>
    <row r="31" spans="1:6" ht="15.75">
      <c r="A31" s="29" t="s">
        <v>22</v>
      </c>
      <c r="B31" s="32" t="s">
        <v>505</v>
      </c>
      <c r="C31" s="29"/>
      <c r="D31" s="29"/>
      <c r="E31" s="29"/>
      <c r="F31" s="29"/>
    </row>
    <row r="32" spans="1:6" ht="15.75">
      <c r="A32" s="29" t="s">
        <v>22</v>
      </c>
      <c r="B32" s="32" t="s">
        <v>506</v>
      </c>
      <c r="C32" s="29"/>
      <c r="D32" s="29"/>
      <c r="E32" s="29"/>
      <c r="F32" s="29"/>
    </row>
    <row r="33" spans="1:6" ht="15.75">
      <c r="A33" s="29" t="s">
        <v>22</v>
      </c>
      <c r="B33" s="32" t="s">
        <v>507</v>
      </c>
      <c r="C33" s="29"/>
      <c r="D33" s="29"/>
      <c r="E33" s="29"/>
      <c r="F33" s="29"/>
    </row>
    <row r="34" spans="1:6" ht="15.75">
      <c r="A34" s="29" t="s">
        <v>22</v>
      </c>
      <c r="B34" s="32" t="s">
        <v>508</v>
      </c>
      <c r="C34" s="29"/>
      <c r="D34" s="29"/>
      <c r="E34" s="29"/>
      <c r="F34" s="29"/>
    </row>
    <row r="35" spans="1:6" ht="15.75">
      <c r="A35" s="29" t="s">
        <v>22</v>
      </c>
      <c r="B35" s="32" t="s">
        <v>509</v>
      </c>
      <c r="C35" s="29"/>
      <c r="D35" s="29"/>
      <c r="E35" s="29"/>
      <c r="F35" s="29"/>
    </row>
    <row r="36" spans="1:6" ht="15.75">
      <c r="A36" s="29" t="s">
        <v>22</v>
      </c>
      <c r="B36" s="32" t="s">
        <v>510</v>
      </c>
      <c r="C36" s="29"/>
      <c r="D36" s="29"/>
      <c r="E36" s="29"/>
      <c r="F36" s="29"/>
    </row>
    <row r="37" spans="1:6" ht="15.75">
      <c r="A37" s="29" t="s">
        <v>22</v>
      </c>
      <c r="B37" s="32" t="s">
        <v>511</v>
      </c>
      <c r="C37" s="29"/>
      <c r="D37" s="29"/>
      <c r="E37" s="29"/>
      <c r="F37" s="29"/>
    </row>
    <row r="38" spans="1:6" ht="15.75">
      <c r="A38" s="29" t="s">
        <v>22</v>
      </c>
      <c r="B38" s="32" t="s">
        <v>512</v>
      </c>
      <c r="C38" s="29"/>
      <c r="D38" s="29"/>
      <c r="E38" s="29"/>
      <c r="F38" s="29"/>
    </row>
    <row r="39" spans="1:6" ht="31.5">
      <c r="A39" s="29" t="s">
        <v>22</v>
      </c>
      <c r="B39" s="32" t="s">
        <v>513</v>
      </c>
      <c r="C39" s="29"/>
      <c r="D39" s="29"/>
      <c r="E39" s="29"/>
      <c r="F39" s="29"/>
    </row>
    <row r="40" spans="1:6" ht="15.75">
      <c r="A40" s="29" t="s">
        <v>22</v>
      </c>
      <c r="B40" s="32" t="s">
        <v>514</v>
      </c>
      <c r="C40" s="29"/>
      <c r="D40" s="29"/>
      <c r="E40" s="29"/>
      <c r="F40" s="29"/>
    </row>
    <row r="41" spans="1:6" ht="15.75">
      <c r="A41" s="29" t="s">
        <v>22</v>
      </c>
      <c r="B41" s="32" t="s">
        <v>516</v>
      </c>
      <c r="C41" s="29"/>
      <c r="D41" s="29"/>
      <c r="E41" s="29"/>
      <c r="F41" s="29"/>
    </row>
    <row r="42" spans="1:6" ht="31.5">
      <c r="A42" s="30" t="s">
        <v>73</v>
      </c>
      <c r="B42" s="31" t="s">
        <v>406</v>
      </c>
      <c r="C42" s="29"/>
      <c r="D42" s="29"/>
      <c r="E42" s="29"/>
      <c r="F42" s="29"/>
    </row>
    <row r="43" spans="1:6" ht="15.75">
      <c r="A43" s="30" t="s">
        <v>77</v>
      </c>
      <c r="B43" s="31" t="s">
        <v>407</v>
      </c>
      <c r="C43" s="29"/>
      <c r="D43" s="29"/>
      <c r="E43" s="29"/>
      <c r="F43" s="29"/>
    </row>
    <row r="44" spans="1:6" ht="15.75">
      <c r="A44" s="30" t="s">
        <v>113</v>
      </c>
      <c r="B44" s="31" t="s">
        <v>241</v>
      </c>
      <c r="C44" s="29"/>
      <c r="D44" s="29"/>
      <c r="E44" s="29"/>
      <c r="F44" s="29"/>
    </row>
    <row r="45" spans="1:6" ht="15.75">
      <c r="A45" s="30" t="s">
        <v>396</v>
      </c>
      <c r="B45" s="31" t="s">
        <v>98</v>
      </c>
      <c r="C45" s="29"/>
      <c r="D45" s="29"/>
      <c r="E45" s="29"/>
      <c r="F45" s="29"/>
    </row>
    <row r="46" spans="1:6" ht="15.75">
      <c r="A46" s="30" t="s">
        <v>79</v>
      </c>
      <c r="B46" s="31" t="s">
        <v>430</v>
      </c>
      <c r="C46" s="29"/>
      <c r="D46" s="29"/>
      <c r="E46" s="29"/>
      <c r="F46" s="29"/>
    </row>
    <row r="47" spans="1:6" ht="20.25" customHeight="1">
      <c r="A47" s="28" t="s">
        <v>573</v>
      </c>
    </row>
    <row r="48" spans="1:6" s="39" customFormat="1" ht="23.25" customHeight="1">
      <c r="A48" s="34" t="s">
        <v>518</v>
      </c>
    </row>
    <row r="49" spans="1:6" ht="54" customHeight="1">
      <c r="A49" s="779" t="s">
        <v>517</v>
      </c>
      <c r="B49" s="779"/>
      <c r="C49" s="779"/>
      <c r="D49" s="779"/>
      <c r="E49" s="779"/>
      <c r="F49" s="779"/>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8">
    <mergeCell ref="A2:F2"/>
    <mergeCell ref="A3:F3"/>
    <mergeCell ref="A49:F49"/>
    <mergeCell ref="A5:A6"/>
    <mergeCell ref="B5:B6"/>
    <mergeCell ref="C5:C6"/>
    <mergeCell ref="D5:D6"/>
    <mergeCell ref="E5:F5"/>
  </mergeCells>
  <pageMargins left="0.7" right="0.7" top="0.75" bottom="0.75" header="0.3" footer="0.3"/>
</worksheet>
</file>

<file path=xl/worksheets/sheet54.xml><?xml version="1.0" encoding="utf-8"?>
<worksheet xmlns="http://schemas.openxmlformats.org/spreadsheetml/2006/main" xmlns:r="http://schemas.openxmlformats.org/officeDocument/2006/relationships">
  <sheetPr>
    <tabColor rgb="FF00B0F0"/>
  </sheetPr>
  <dimension ref="A1:K34"/>
  <sheetViews>
    <sheetView workbookViewId="0"/>
  </sheetViews>
  <sheetFormatPr defaultRowHeight="15"/>
  <cols>
    <col min="1" max="1" width="6.7109375" customWidth="1"/>
    <col min="2" max="2" width="34.85546875" customWidth="1"/>
  </cols>
  <sheetData>
    <row r="1" spans="1:11" ht="15.75">
      <c r="K1" s="26" t="s">
        <v>607</v>
      </c>
    </row>
    <row r="2" spans="1:11" ht="34.5" customHeight="1">
      <c r="A2" s="781" t="s">
        <v>696</v>
      </c>
      <c r="B2" s="781"/>
      <c r="C2" s="781"/>
      <c r="D2" s="781"/>
      <c r="E2" s="781"/>
      <c r="F2" s="781"/>
      <c r="G2" s="781"/>
      <c r="H2" s="781"/>
      <c r="I2" s="781"/>
      <c r="J2" s="781"/>
      <c r="K2" s="781"/>
    </row>
    <row r="3" spans="1:11">
      <c r="A3" s="781" t="s">
        <v>458</v>
      </c>
      <c r="B3" s="820"/>
      <c r="C3" s="820"/>
      <c r="D3" s="820"/>
      <c r="E3" s="820"/>
      <c r="F3" s="820"/>
      <c r="G3" s="820"/>
      <c r="H3" s="820"/>
      <c r="I3" s="820"/>
      <c r="J3" s="820"/>
      <c r="K3" s="820"/>
    </row>
    <row r="4" spans="1:11" ht="15.75">
      <c r="K4" s="27" t="s">
        <v>56</v>
      </c>
    </row>
    <row r="5" spans="1:11" ht="15.75">
      <c r="A5" s="773" t="s">
        <v>3</v>
      </c>
      <c r="B5" s="773" t="s">
        <v>329</v>
      </c>
      <c r="C5" s="773" t="s">
        <v>330</v>
      </c>
      <c r="D5" s="773" t="s">
        <v>468</v>
      </c>
      <c r="E5" s="773"/>
      <c r="F5" s="773" t="s">
        <v>661</v>
      </c>
      <c r="G5" s="773" t="s">
        <v>468</v>
      </c>
      <c r="H5" s="773"/>
      <c r="I5" s="773" t="s">
        <v>346</v>
      </c>
      <c r="J5" s="773"/>
      <c r="K5" s="773"/>
    </row>
    <row r="6" spans="1:11" ht="63">
      <c r="A6" s="773"/>
      <c r="B6" s="773"/>
      <c r="C6" s="773"/>
      <c r="D6" s="30" t="s">
        <v>131</v>
      </c>
      <c r="E6" s="30" t="s">
        <v>132</v>
      </c>
      <c r="F6" s="773"/>
      <c r="G6" s="30" t="s">
        <v>131</v>
      </c>
      <c r="H6" s="30" t="s">
        <v>132</v>
      </c>
      <c r="I6" s="30" t="s">
        <v>493</v>
      </c>
      <c r="J6" s="30" t="s">
        <v>131</v>
      </c>
      <c r="K6" s="30" t="s">
        <v>132</v>
      </c>
    </row>
    <row r="7" spans="1:11" ht="15.75">
      <c r="A7" s="30" t="s">
        <v>15</v>
      </c>
      <c r="B7" s="30" t="s">
        <v>16</v>
      </c>
      <c r="C7" s="30" t="s">
        <v>494</v>
      </c>
      <c r="D7" s="30">
        <v>2</v>
      </c>
      <c r="E7" s="30">
        <v>3</v>
      </c>
      <c r="F7" s="30" t="s">
        <v>495</v>
      </c>
      <c r="G7" s="30">
        <v>5</v>
      </c>
      <c r="H7" s="30">
        <v>6</v>
      </c>
      <c r="I7" s="30" t="s">
        <v>496</v>
      </c>
      <c r="J7" s="30" t="s">
        <v>497</v>
      </c>
      <c r="K7" s="30" t="s">
        <v>498</v>
      </c>
    </row>
    <row r="8" spans="1:11" ht="15.75">
      <c r="A8" s="30"/>
      <c r="B8" s="31" t="s">
        <v>90</v>
      </c>
      <c r="C8" s="29"/>
      <c r="D8" s="29"/>
      <c r="E8" s="29"/>
      <c r="F8" s="29"/>
      <c r="G8" s="29"/>
      <c r="H8" s="29"/>
      <c r="I8" s="29"/>
      <c r="J8" s="29"/>
      <c r="K8" s="29"/>
    </row>
    <row r="9" spans="1:11" ht="15.75">
      <c r="A9" s="30" t="s">
        <v>15</v>
      </c>
      <c r="B9" s="31" t="s">
        <v>386</v>
      </c>
      <c r="C9" s="29"/>
      <c r="D9" s="29"/>
      <c r="E9" s="29"/>
      <c r="F9" s="29"/>
      <c r="G9" s="29"/>
      <c r="H9" s="29"/>
      <c r="I9" s="29"/>
      <c r="J9" s="29"/>
      <c r="K9" s="29"/>
    </row>
    <row r="10" spans="1:11" ht="15.75">
      <c r="A10" s="30" t="s">
        <v>83</v>
      </c>
      <c r="B10" s="31" t="s">
        <v>340</v>
      </c>
      <c r="C10" s="29"/>
      <c r="D10" s="29"/>
      <c r="E10" s="29"/>
      <c r="F10" s="29"/>
      <c r="G10" s="29"/>
      <c r="H10" s="29"/>
      <c r="I10" s="29"/>
      <c r="J10" s="29"/>
      <c r="K10" s="29"/>
    </row>
    <row r="11" spans="1:11" ht="15.75">
      <c r="A11" s="29">
        <v>1</v>
      </c>
      <c r="B11" s="32" t="s">
        <v>387</v>
      </c>
      <c r="C11" s="29"/>
      <c r="D11" s="29"/>
      <c r="E11" s="29"/>
      <c r="F11" s="29"/>
      <c r="G11" s="29"/>
      <c r="H11" s="29"/>
      <c r="I11" s="29"/>
      <c r="J11" s="29"/>
      <c r="K11" s="29"/>
    </row>
    <row r="12" spans="1:11" ht="15.75">
      <c r="A12" s="29"/>
      <c r="B12" s="33" t="s">
        <v>388</v>
      </c>
      <c r="C12" s="29"/>
      <c r="D12" s="29"/>
      <c r="E12" s="29"/>
      <c r="F12" s="29"/>
      <c r="G12" s="29"/>
      <c r="H12" s="29"/>
      <c r="I12" s="29"/>
      <c r="J12" s="29"/>
      <c r="K12" s="29"/>
    </row>
    <row r="13" spans="1:11" ht="15.75">
      <c r="A13" s="29" t="s">
        <v>22</v>
      </c>
      <c r="B13" s="33" t="s">
        <v>389</v>
      </c>
      <c r="C13" s="29"/>
      <c r="D13" s="29"/>
      <c r="E13" s="29"/>
      <c r="F13" s="29"/>
      <c r="G13" s="29"/>
      <c r="H13" s="29"/>
      <c r="I13" s="29"/>
      <c r="J13" s="29"/>
      <c r="K13" s="29"/>
    </row>
    <row r="14" spans="1:11" ht="15.75">
      <c r="A14" s="29" t="s">
        <v>22</v>
      </c>
      <c r="B14" s="33" t="s">
        <v>390</v>
      </c>
      <c r="C14" s="29"/>
      <c r="D14" s="29"/>
      <c r="E14" s="29"/>
      <c r="F14" s="29"/>
      <c r="G14" s="29"/>
      <c r="H14" s="29"/>
      <c r="I14" s="29"/>
      <c r="J14" s="29"/>
      <c r="K14" s="29"/>
    </row>
    <row r="15" spans="1:11" ht="15.75">
      <c r="A15" s="29"/>
      <c r="B15" s="33" t="s">
        <v>391</v>
      </c>
      <c r="C15" s="29"/>
      <c r="D15" s="29"/>
      <c r="E15" s="29"/>
      <c r="F15" s="29"/>
      <c r="G15" s="29"/>
      <c r="H15" s="29"/>
      <c r="I15" s="29"/>
      <c r="J15" s="29"/>
      <c r="K15" s="29"/>
    </row>
    <row r="16" spans="1:11" ht="31.5">
      <c r="A16" s="29" t="s">
        <v>22</v>
      </c>
      <c r="B16" s="33" t="s">
        <v>392</v>
      </c>
      <c r="C16" s="29"/>
      <c r="D16" s="29"/>
      <c r="E16" s="29"/>
      <c r="F16" s="29"/>
      <c r="G16" s="29"/>
      <c r="H16" s="29"/>
      <c r="I16" s="29"/>
      <c r="J16" s="29"/>
      <c r="K16" s="29"/>
    </row>
    <row r="17" spans="1:11" ht="31.5">
      <c r="A17" s="29" t="s">
        <v>22</v>
      </c>
      <c r="B17" s="33" t="s">
        <v>499</v>
      </c>
      <c r="C17" s="29"/>
      <c r="D17" s="29"/>
      <c r="E17" s="29"/>
      <c r="F17" s="29"/>
      <c r="G17" s="29"/>
      <c r="H17" s="29"/>
      <c r="I17" s="29"/>
      <c r="J17" s="29"/>
      <c r="K17" s="29"/>
    </row>
    <row r="18" spans="1:11" ht="94.5">
      <c r="A18" s="29">
        <v>2</v>
      </c>
      <c r="B18" s="32" t="s">
        <v>394</v>
      </c>
      <c r="C18" s="29"/>
      <c r="D18" s="29"/>
      <c r="E18" s="29"/>
      <c r="F18" s="29"/>
      <c r="G18" s="29"/>
      <c r="H18" s="29"/>
      <c r="I18" s="29"/>
      <c r="J18" s="29"/>
      <c r="K18" s="29"/>
    </row>
    <row r="19" spans="1:11" ht="15.75">
      <c r="A19" s="29">
        <v>3</v>
      </c>
      <c r="B19" s="32" t="s">
        <v>395</v>
      </c>
      <c r="C19" s="29"/>
      <c r="D19" s="29"/>
      <c r="E19" s="29"/>
      <c r="F19" s="29"/>
      <c r="G19" s="29"/>
      <c r="H19" s="29"/>
      <c r="I19" s="29"/>
      <c r="J19" s="29"/>
      <c r="K19" s="29"/>
    </row>
    <row r="20" spans="1:11" ht="15.75">
      <c r="A20" s="30" t="s">
        <v>70</v>
      </c>
      <c r="B20" s="31" t="s">
        <v>96</v>
      </c>
      <c r="C20" s="29"/>
      <c r="D20" s="29"/>
      <c r="E20" s="29"/>
      <c r="F20" s="29"/>
      <c r="G20" s="29"/>
      <c r="H20" s="29"/>
      <c r="I20" s="29"/>
      <c r="J20" s="29"/>
      <c r="K20" s="29"/>
    </row>
    <row r="21" spans="1:11" ht="15.75">
      <c r="A21" s="29"/>
      <c r="B21" s="33" t="s">
        <v>134</v>
      </c>
      <c r="C21" s="29"/>
      <c r="D21" s="29"/>
      <c r="E21" s="29"/>
      <c r="F21" s="29"/>
      <c r="G21" s="29"/>
      <c r="H21" s="29"/>
      <c r="I21" s="29"/>
      <c r="J21" s="29"/>
      <c r="K21" s="29"/>
    </row>
    <row r="22" spans="1:11" ht="15.75">
      <c r="A22" s="29">
        <v>1</v>
      </c>
      <c r="B22" s="33" t="s">
        <v>389</v>
      </c>
      <c r="C22" s="29"/>
      <c r="D22" s="29"/>
      <c r="E22" s="29"/>
      <c r="F22" s="29"/>
      <c r="G22" s="29"/>
      <c r="H22" s="29"/>
      <c r="I22" s="29"/>
      <c r="J22" s="29"/>
      <c r="K22" s="29"/>
    </row>
    <row r="23" spans="1:11" ht="15.75">
      <c r="A23" s="29">
        <v>2</v>
      </c>
      <c r="B23" s="33" t="s">
        <v>390</v>
      </c>
      <c r="C23" s="29"/>
      <c r="D23" s="29"/>
      <c r="E23" s="29"/>
      <c r="F23" s="29"/>
      <c r="G23" s="29"/>
      <c r="H23" s="29"/>
      <c r="I23" s="29"/>
      <c r="J23" s="29"/>
      <c r="K23" s="29"/>
    </row>
    <row r="24" spans="1:11" ht="31.5">
      <c r="A24" s="30" t="s">
        <v>73</v>
      </c>
      <c r="B24" s="31" t="s">
        <v>97</v>
      </c>
      <c r="C24" s="29"/>
      <c r="D24" s="29"/>
      <c r="E24" s="29"/>
      <c r="F24" s="29"/>
      <c r="G24" s="29"/>
      <c r="H24" s="29"/>
      <c r="I24" s="29"/>
      <c r="J24" s="29"/>
      <c r="K24" s="29"/>
    </row>
    <row r="25" spans="1:11" ht="15.75">
      <c r="A25" s="30" t="s">
        <v>77</v>
      </c>
      <c r="B25" s="31" t="s">
        <v>240</v>
      </c>
      <c r="C25" s="29"/>
      <c r="D25" s="29"/>
      <c r="E25" s="29"/>
      <c r="F25" s="29"/>
      <c r="G25" s="29"/>
      <c r="H25" s="29"/>
      <c r="I25" s="29"/>
      <c r="J25" s="29"/>
      <c r="K25" s="29"/>
    </row>
    <row r="26" spans="1:11" ht="15.75">
      <c r="A26" s="30" t="s">
        <v>113</v>
      </c>
      <c r="B26" s="31" t="s">
        <v>241</v>
      </c>
      <c r="C26" s="29"/>
      <c r="D26" s="29"/>
      <c r="E26" s="29"/>
      <c r="F26" s="29"/>
      <c r="G26" s="29"/>
      <c r="H26" s="29"/>
      <c r="I26" s="29"/>
      <c r="J26" s="29"/>
      <c r="K26" s="29"/>
    </row>
    <row r="27" spans="1:11" ht="31.5">
      <c r="A27" s="30" t="s">
        <v>396</v>
      </c>
      <c r="B27" s="31" t="s">
        <v>98</v>
      </c>
      <c r="C27" s="29"/>
      <c r="D27" s="29"/>
      <c r="E27" s="29"/>
      <c r="F27" s="29"/>
      <c r="G27" s="29"/>
      <c r="H27" s="29"/>
      <c r="I27" s="29"/>
      <c r="J27" s="29"/>
      <c r="K27" s="29"/>
    </row>
    <row r="28" spans="1:11" ht="31.5">
      <c r="A28" s="30" t="s">
        <v>16</v>
      </c>
      <c r="B28" s="31" t="s">
        <v>398</v>
      </c>
      <c r="C28" s="29"/>
      <c r="D28" s="29"/>
      <c r="E28" s="29"/>
      <c r="F28" s="29"/>
      <c r="G28" s="29"/>
      <c r="H28" s="29"/>
      <c r="I28" s="29"/>
      <c r="J28" s="29"/>
      <c r="K28" s="29"/>
    </row>
    <row r="29" spans="1:11" ht="31.5">
      <c r="A29" s="30" t="s">
        <v>83</v>
      </c>
      <c r="B29" s="31" t="s">
        <v>243</v>
      </c>
      <c r="C29" s="29"/>
      <c r="D29" s="29"/>
      <c r="E29" s="29"/>
      <c r="F29" s="29"/>
      <c r="G29" s="29"/>
      <c r="H29" s="29"/>
      <c r="I29" s="29"/>
      <c r="J29" s="29"/>
      <c r="K29" s="29"/>
    </row>
    <row r="30" spans="1:11" ht="31.5">
      <c r="A30" s="29"/>
      <c r="B30" s="32" t="s">
        <v>399</v>
      </c>
      <c r="C30" s="29"/>
      <c r="D30" s="29"/>
      <c r="E30" s="29"/>
      <c r="F30" s="29"/>
      <c r="G30" s="29"/>
      <c r="H30" s="29"/>
      <c r="I30" s="29"/>
      <c r="J30" s="29"/>
      <c r="K30" s="29"/>
    </row>
    <row r="31" spans="1:11" ht="31.5">
      <c r="A31" s="30" t="s">
        <v>70</v>
      </c>
      <c r="B31" s="31" t="s">
        <v>244</v>
      </c>
      <c r="C31" s="29"/>
      <c r="D31" s="29"/>
      <c r="E31" s="29"/>
      <c r="F31" s="29"/>
      <c r="G31" s="29"/>
      <c r="H31" s="29"/>
      <c r="I31" s="29"/>
      <c r="J31" s="29"/>
      <c r="K31" s="29"/>
    </row>
    <row r="32" spans="1:11" ht="31.5">
      <c r="A32" s="29"/>
      <c r="B32" s="32" t="s">
        <v>400</v>
      </c>
      <c r="C32" s="29"/>
      <c r="D32" s="29"/>
      <c r="E32" s="29"/>
      <c r="F32" s="29"/>
      <c r="G32" s="29"/>
      <c r="H32" s="29"/>
      <c r="I32" s="29"/>
      <c r="J32" s="29"/>
      <c r="K32" s="29"/>
    </row>
    <row r="33" spans="1:11" ht="31.5">
      <c r="A33" s="30" t="s">
        <v>79</v>
      </c>
      <c r="B33" s="31" t="s">
        <v>430</v>
      </c>
      <c r="C33" s="29"/>
      <c r="D33" s="29"/>
      <c r="E33" s="29"/>
      <c r="F33" s="29"/>
      <c r="G33" s="29"/>
      <c r="H33" s="29"/>
      <c r="I33" s="29"/>
      <c r="J33" s="29"/>
      <c r="K33" s="29"/>
    </row>
    <row r="34" spans="1:11" ht="49.5" customHeight="1">
      <c r="A34" s="821" t="s">
        <v>500</v>
      </c>
      <c r="B34" s="821"/>
      <c r="C34" s="821"/>
      <c r="D34" s="821"/>
      <c r="E34" s="821"/>
      <c r="F34" s="821"/>
      <c r="G34" s="821"/>
      <c r="H34" s="821"/>
      <c r="I34" s="821"/>
      <c r="J34" s="821"/>
      <c r="K34" s="821"/>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10">
    <mergeCell ref="I5:K5"/>
    <mergeCell ref="A2:K2"/>
    <mergeCell ref="A3:K3"/>
    <mergeCell ref="A34:K34"/>
    <mergeCell ref="A5:A6"/>
    <mergeCell ref="B5:B6"/>
    <mergeCell ref="C5:C6"/>
    <mergeCell ref="D5:E5"/>
    <mergeCell ref="F5:F6"/>
    <mergeCell ref="G5:H5"/>
  </mergeCells>
  <pageMargins left="0.7" right="0.7" top="0.75" bottom="0.75" header="0.3" footer="0.3"/>
</worksheet>
</file>

<file path=xl/worksheets/sheet55.xml><?xml version="1.0" encoding="utf-8"?>
<worksheet xmlns="http://schemas.openxmlformats.org/spreadsheetml/2006/main" xmlns:r="http://schemas.openxmlformats.org/officeDocument/2006/relationships">
  <sheetPr>
    <tabColor rgb="FF00B0F0"/>
  </sheetPr>
  <dimension ref="A1:Q35"/>
  <sheetViews>
    <sheetView workbookViewId="0"/>
  </sheetViews>
  <sheetFormatPr defaultRowHeight="15"/>
  <cols>
    <col min="1" max="1" width="5.85546875" customWidth="1"/>
    <col min="2" max="2" width="52" customWidth="1"/>
  </cols>
  <sheetData>
    <row r="1" spans="1:17" ht="15.75">
      <c r="Q1" s="26" t="s">
        <v>608</v>
      </c>
    </row>
    <row r="2" spans="1:17" ht="15.75">
      <c r="A2" s="825" t="s">
        <v>697</v>
      </c>
      <c r="B2" s="825"/>
      <c r="C2" s="825"/>
      <c r="D2" s="825"/>
      <c r="E2" s="825"/>
      <c r="F2" s="825"/>
      <c r="G2" s="825"/>
      <c r="H2" s="825"/>
      <c r="I2" s="825"/>
      <c r="J2" s="825"/>
      <c r="K2" s="825"/>
      <c r="L2" s="825"/>
      <c r="M2" s="825"/>
      <c r="N2" s="825"/>
      <c r="O2" s="825"/>
      <c r="P2" s="825"/>
      <c r="Q2" s="825"/>
    </row>
    <row r="3" spans="1:17" ht="15.75">
      <c r="A3" s="825" t="s">
        <v>126</v>
      </c>
      <c r="B3" s="825"/>
      <c r="C3" s="825"/>
      <c r="D3" s="825"/>
      <c r="E3" s="825"/>
      <c r="F3" s="825"/>
      <c r="G3" s="825"/>
      <c r="H3" s="825"/>
      <c r="I3" s="825"/>
      <c r="J3" s="825"/>
      <c r="K3" s="825"/>
      <c r="L3" s="825"/>
      <c r="M3" s="825"/>
      <c r="N3" s="825"/>
      <c r="O3" s="825"/>
      <c r="P3" s="825"/>
      <c r="Q3" s="825"/>
    </row>
    <row r="4" spans="1:17" ht="15.75">
      <c r="Q4" s="43" t="s">
        <v>56</v>
      </c>
    </row>
    <row r="5" spans="1:17" ht="22.5" customHeight="1">
      <c r="A5" s="824" t="s">
        <v>3</v>
      </c>
      <c r="B5" s="824" t="s">
        <v>161</v>
      </c>
      <c r="C5" s="824" t="s">
        <v>698</v>
      </c>
      <c r="D5" s="824"/>
      <c r="E5" s="824"/>
      <c r="F5" s="824" t="s">
        <v>661</v>
      </c>
      <c r="G5" s="824"/>
      <c r="H5" s="824"/>
      <c r="I5" s="824"/>
      <c r="J5" s="824"/>
      <c r="K5" s="824"/>
      <c r="L5" s="824"/>
      <c r="M5" s="824"/>
      <c r="N5" s="824"/>
      <c r="O5" s="824" t="s">
        <v>346</v>
      </c>
      <c r="P5" s="824"/>
      <c r="Q5" s="824"/>
    </row>
    <row r="6" spans="1:17" ht="23.25" customHeight="1">
      <c r="A6" s="824"/>
      <c r="B6" s="824"/>
      <c r="C6" s="824" t="s">
        <v>130</v>
      </c>
      <c r="D6" s="824" t="s">
        <v>699</v>
      </c>
      <c r="E6" s="824" t="s">
        <v>150</v>
      </c>
      <c r="F6" s="824" t="s">
        <v>130</v>
      </c>
      <c r="G6" s="824" t="s">
        <v>699</v>
      </c>
      <c r="H6" s="824" t="s">
        <v>700</v>
      </c>
      <c r="I6" s="824" t="s">
        <v>701</v>
      </c>
      <c r="J6" s="824" t="s">
        <v>407</v>
      </c>
      <c r="K6" s="824" t="s">
        <v>522</v>
      </c>
      <c r="L6" s="824"/>
      <c r="M6" s="824"/>
      <c r="N6" s="824" t="s">
        <v>523</v>
      </c>
      <c r="O6" s="824" t="s">
        <v>130</v>
      </c>
      <c r="P6" s="824" t="s">
        <v>340</v>
      </c>
      <c r="Q6" s="824" t="s">
        <v>150</v>
      </c>
    </row>
    <row r="7" spans="1:17" ht="109.5" customHeight="1">
      <c r="A7" s="824"/>
      <c r="B7" s="824"/>
      <c r="C7" s="824"/>
      <c r="D7" s="824"/>
      <c r="E7" s="824"/>
      <c r="F7" s="824"/>
      <c r="G7" s="824"/>
      <c r="H7" s="824"/>
      <c r="I7" s="824"/>
      <c r="J7" s="824"/>
      <c r="K7" s="44" t="s">
        <v>130</v>
      </c>
      <c r="L7" s="44" t="s">
        <v>340</v>
      </c>
      <c r="M7" s="44" t="s">
        <v>96</v>
      </c>
      <c r="N7" s="824"/>
      <c r="O7" s="824"/>
      <c r="P7" s="824"/>
      <c r="Q7" s="824"/>
    </row>
    <row r="8" spans="1:17" ht="15.75">
      <c r="A8" s="44" t="s">
        <v>15</v>
      </c>
      <c r="B8" s="44" t="s">
        <v>16</v>
      </c>
      <c r="C8" s="44">
        <v>1</v>
      </c>
      <c r="D8" s="44">
        <v>2</v>
      </c>
      <c r="E8" s="44">
        <v>3</v>
      </c>
      <c r="F8" s="44">
        <v>4</v>
      </c>
      <c r="G8" s="44">
        <v>5</v>
      </c>
      <c r="H8" s="44">
        <v>6</v>
      </c>
      <c r="I8" s="44">
        <v>7</v>
      </c>
      <c r="J8" s="44">
        <v>8</v>
      </c>
      <c r="K8" s="44">
        <v>9</v>
      </c>
      <c r="L8" s="44">
        <v>10</v>
      </c>
      <c r="M8" s="44">
        <v>11</v>
      </c>
      <c r="N8" s="44">
        <v>12</v>
      </c>
      <c r="O8" s="44">
        <v>13</v>
      </c>
      <c r="P8" s="44">
        <v>14</v>
      </c>
      <c r="Q8" s="44">
        <v>15</v>
      </c>
    </row>
    <row r="9" spans="1:17" ht="15.75">
      <c r="A9" s="31"/>
      <c r="B9" s="31" t="s">
        <v>133</v>
      </c>
      <c r="C9" s="29"/>
      <c r="D9" s="29"/>
      <c r="E9" s="29"/>
      <c r="F9" s="29"/>
      <c r="G9" s="29"/>
      <c r="H9" s="29"/>
      <c r="I9" s="29"/>
      <c r="J9" s="29"/>
      <c r="K9" s="29"/>
      <c r="L9" s="29"/>
      <c r="M9" s="29"/>
      <c r="N9" s="45"/>
      <c r="O9" s="45"/>
      <c r="P9" s="45"/>
      <c r="Q9" s="45"/>
    </row>
    <row r="10" spans="1:17" ht="15.75">
      <c r="A10" s="30" t="s">
        <v>83</v>
      </c>
      <c r="B10" s="31" t="s">
        <v>524</v>
      </c>
      <c r="C10" s="29"/>
      <c r="D10" s="29"/>
      <c r="E10" s="29"/>
      <c r="F10" s="29"/>
      <c r="G10" s="29"/>
      <c r="H10" s="29"/>
      <c r="I10" s="29"/>
      <c r="J10" s="29"/>
      <c r="K10" s="29"/>
      <c r="L10" s="29"/>
      <c r="M10" s="29"/>
      <c r="N10" s="45"/>
      <c r="O10" s="45"/>
      <c r="P10" s="45"/>
      <c r="Q10" s="45"/>
    </row>
    <row r="11" spans="1:17" ht="15.75">
      <c r="A11" s="30">
        <v>1</v>
      </c>
      <c r="B11" s="31" t="s">
        <v>166</v>
      </c>
      <c r="C11" s="29"/>
      <c r="D11" s="29"/>
      <c r="E11" s="29"/>
      <c r="F11" s="29"/>
      <c r="G11" s="29"/>
      <c r="H11" s="29"/>
      <c r="I11" s="29"/>
      <c r="J11" s="29"/>
      <c r="K11" s="29"/>
      <c r="L11" s="29"/>
      <c r="M11" s="29"/>
      <c r="N11" s="45"/>
      <c r="O11" s="45"/>
      <c r="P11" s="45"/>
      <c r="Q11" s="45"/>
    </row>
    <row r="12" spans="1:17" ht="15.75">
      <c r="A12" s="30">
        <v>2</v>
      </c>
      <c r="B12" s="31" t="s">
        <v>167</v>
      </c>
      <c r="C12" s="29"/>
      <c r="D12" s="29"/>
      <c r="E12" s="29"/>
      <c r="F12" s="29"/>
      <c r="G12" s="29"/>
      <c r="H12" s="29"/>
      <c r="I12" s="29"/>
      <c r="J12" s="29"/>
      <c r="K12" s="29"/>
      <c r="L12" s="29"/>
      <c r="M12" s="29"/>
      <c r="N12" s="45"/>
      <c r="O12" s="45"/>
      <c r="P12" s="45"/>
      <c r="Q12" s="45"/>
    </row>
    <row r="13" spans="1:17" ht="15.75">
      <c r="A13" s="30">
        <v>3</v>
      </c>
      <c r="B13" s="31" t="s">
        <v>201</v>
      </c>
      <c r="C13" s="29"/>
      <c r="D13" s="29"/>
      <c r="E13" s="29"/>
      <c r="F13" s="29"/>
      <c r="G13" s="29"/>
      <c r="H13" s="29"/>
      <c r="I13" s="29"/>
      <c r="J13" s="29"/>
      <c r="K13" s="29"/>
      <c r="L13" s="29"/>
      <c r="M13" s="29"/>
      <c r="N13" s="45"/>
      <c r="O13" s="45"/>
      <c r="P13" s="45"/>
      <c r="Q13" s="45"/>
    </row>
    <row r="14" spans="1:17" ht="31.5">
      <c r="A14" s="30" t="s">
        <v>70</v>
      </c>
      <c r="B14" s="31" t="s">
        <v>702</v>
      </c>
      <c r="C14" s="29"/>
      <c r="D14" s="29"/>
      <c r="E14" s="29"/>
      <c r="F14" s="29"/>
      <c r="G14" s="29"/>
      <c r="H14" s="29"/>
      <c r="I14" s="29"/>
      <c r="J14" s="29"/>
      <c r="K14" s="29"/>
      <c r="L14" s="29"/>
      <c r="M14" s="29"/>
      <c r="N14" s="45"/>
      <c r="O14" s="45"/>
      <c r="P14" s="45"/>
      <c r="Q14" s="45"/>
    </row>
    <row r="15" spans="1:17" ht="15.75">
      <c r="A15" s="30" t="s">
        <v>73</v>
      </c>
      <c r="B15" s="31" t="s">
        <v>703</v>
      </c>
      <c r="C15" s="29"/>
      <c r="D15" s="29"/>
      <c r="E15" s="29"/>
      <c r="F15" s="29"/>
      <c r="G15" s="29"/>
      <c r="H15" s="29"/>
      <c r="I15" s="29"/>
      <c r="J15" s="29"/>
      <c r="K15" s="29"/>
      <c r="L15" s="29"/>
      <c r="M15" s="29"/>
      <c r="N15" s="45"/>
      <c r="O15" s="45"/>
      <c r="P15" s="45"/>
      <c r="Q15" s="45"/>
    </row>
    <row r="16" spans="1:17" ht="15.75">
      <c r="A16" s="30" t="s">
        <v>77</v>
      </c>
      <c r="B16" s="31" t="s">
        <v>588</v>
      </c>
      <c r="C16" s="29"/>
      <c r="D16" s="29"/>
      <c r="E16" s="29"/>
      <c r="F16" s="29"/>
      <c r="G16" s="29"/>
      <c r="H16" s="29"/>
      <c r="I16" s="29"/>
      <c r="J16" s="29"/>
      <c r="K16" s="29"/>
      <c r="L16" s="29"/>
      <c r="M16" s="29"/>
      <c r="N16" s="45"/>
      <c r="O16" s="45"/>
      <c r="P16" s="45"/>
      <c r="Q16" s="45"/>
    </row>
    <row r="17" spans="1:17" ht="15.75">
      <c r="A17" s="30" t="s">
        <v>113</v>
      </c>
      <c r="B17" s="31" t="s">
        <v>589</v>
      </c>
      <c r="C17" s="29"/>
      <c r="D17" s="29"/>
      <c r="E17" s="29"/>
      <c r="F17" s="29"/>
      <c r="G17" s="29"/>
      <c r="H17" s="29"/>
      <c r="I17" s="29"/>
      <c r="J17" s="29"/>
      <c r="K17" s="29"/>
      <c r="L17" s="29"/>
      <c r="M17" s="29"/>
      <c r="N17" s="45"/>
      <c r="O17" s="45"/>
      <c r="P17" s="45"/>
      <c r="Q17" s="45"/>
    </row>
    <row r="18" spans="1:17" ht="31.5">
      <c r="A18" s="30" t="s">
        <v>396</v>
      </c>
      <c r="B18" s="31" t="s">
        <v>704</v>
      </c>
      <c r="C18" s="29"/>
      <c r="D18" s="29"/>
      <c r="E18" s="29"/>
      <c r="F18" s="29"/>
      <c r="G18" s="29"/>
      <c r="H18" s="29"/>
      <c r="I18" s="29"/>
      <c r="J18" s="29"/>
      <c r="K18" s="29"/>
      <c r="L18" s="29"/>
      <c r="M18" s="29"/>
      <c r="N18" s="45"/>
      <c r="O18" s="45"/>
      <c r="P18" s="45"/>
      <c r="Q18" s="45"/>
    </row>
    <row r="19" spans="1:17" ht="31.5">
      <c r="A19" s="30" t="s">
        <v>590</v>
      </c>
      <c r="B19" s="31" t="s">
        <v>526</v>
      </c>
      <c r="C19" s="29"/>
      <c r="D19" s="29"/>
      <c r="E19" s="29"/>
      <c r="F19" s="29"/>
      <c r="G19" s="29"/>
      <c r="H19" s="29"/>
      <c r="I19" s="29"/>
      <c r="J19" s="29"/>
      <c r="K19" s="29"/>
      <c r="L19" s="29"/>
      <c r="M19" s="29"/>
      <c r="N19" s="45"/>
      <c r="O19" s="45"/>
      <c r="P19" s="45"/>
      <c r="Q19" s="45"/>
    </row>
    <row r="20" spans="1:17" ht="15.75">
      <c r="A20" s="46" t="s">
        <v>528</v>
      </c>
    </row>
    <row r="21" spans="1:17" s="39" customFormat="1" ht="15.75">
      <c r="A21" s="47" t="s">
        <v>707</v>
      </c>
    </row>
    <row r="22" spans="1:17" ht="15.75">
      <c r="A22" s="47" t="s">
        <v>705</v>
      </c>
    </row>
    <row r="23" spans="1:17" ht="15.75">
      <c r="A23" s="47" t="s">
        <v>706</v>
      </c>
    </row>
    <row r="24" spans="1:17" ht="15.75">
      <c r="A24" s="48"/>
    </row>
    <row r="25" spans="1:17">
      <c r="A25" s="42"/>
    </row>
    <row r="26" spans="1:17">
      <c r="A26" s="42"/>
    </row>
    <row r="27" spans="1:17">
      <c r="A27" s="42"/>
    </row>
    <row r="28" spans="1:17">
      <c r="A28" s="42"/>
    </row>
    <row r="29" spans="1:17">
      <c r="A29" s="42"/>
    </row>
    <row r="30" spans="1:17">
      <c r="A30" s="42"/>
    </row>
    <row r="31" spans="1:17">
      <c r="A31" s="42"/>
    </row>
    <row r="32" spans="1:17">
      <c r="A32" s="42"/>
    </row>
    <row r="33" spans="1:1">
      <c r="A33" s="42"/>
    </row>
    <row r="34" spans="1:1">
      <c r="A34" s="42"/>
    </row>
    <row r="35" spans="1:1">
      <c r="A35" s="42"/>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20">
    <mergeCell ref="O5:Q5"/>
    <mergeCell ref="C6:C7"/>
    <mergeCell ref="D6:D7"/>
    <mergeCell ref="E6:E7"/>
    <mergeCell ref="F6:F7"/>
    <mergeCell ref="G6:G7"/>
    <mergeCell ref="P6:P7"/>
    <mergeCell ref="Q6:Q7"/>
    <mergeCell ref="A2:Q2"/>
    <mergeCell ref="A3:Q3"/>
    <mergeCell ref="H6:H7"/>
    <mergeCell ref="I6:I7"/>
    <mergeCell ref="J6:J7"/>
    <mergeCell ref="K6:M6"/>
    <mergeCell ref="N6:N7"/>
    <mergeCell ref="O6:O7"/>
    <mergeCell ref="A5:A7"/>
    <mergeCell ref="B5:B7"/>
    <mergeCell ref="C5:E5"/>
    <mergeCell ref="F5:N5"/>
  </mergeCells>
  <pageMargins left="0.7" right="0.7" top="0.75" bottom="0.75" header="0.3" footer="0.3"/>
</worksheet>
</file>

<file path=xl/worksheets/sheet56.xml><?xml version="1.0" encoding="utf-8"?>
<worksheet xmlns="http://schemas.openxmlformats.org/spreadsheetml/2006/main" xmlns:r="http://schemas.openxmlformats.org/officeDocument/2006/relationships">
  <sheetPr>
    <tabColor rgb="FF00B0F0"/>
  </sheetPr>
  <dimension ref="A1:T12"/>
  <sheetViews>
    <sheetView workbookViewId="0"/>
  </sheetViews>
  <sheetFormatPr defaultRowHeight="15"/>
  <cols>
    <col min="1" max="1" width="7" customWidth="1"/>
    <col min="2" max="2" width="21.42578125" customWidth="1"/>
    <col min="17" max="17" width="11.140625" customWidth="1"/>
  </cols>
  <sheetData>
    <row r="1" spans="1:20" ht="15.75">
      <c r="T1" s="49" t="s">
        <v>708</v>
      </c>
    </row>
    <row r="2" spans="1:20" ht="15.75">
      <c r="A2" s="774" t="s">
        <v>709</v>
      </c>
      <c r="B2" s="774"/>
      <c r="C2" s="774"/>
      <c r="D2" s="774"/>
      <c r="E2" s="774"/>
      <c r="F2" s="774"/>
      <c r="G2" s="774"/>
      <c r="H2" s="774"/>
      <c r="I2" s="774"/>
      <c r="J2" s="774"/>
      <c r="K2" s="774"/>
      <c r="L2" s="774"/>
      <c r="M2" s="774"/>
      <c r="N2" s="774"/>
      <c r="O2" s="774"/>
      <c r="P2" s="774"/>
      <c r="Q2" s="774"/>
      <c r="R2" s="774"/>
      <c r="S2" s="774"/>
      <c r="T2" s="774"/>
    </row>
    <row r="3" spans="1:20" ht="15.75">
      <c r="A3" s="774" t="s">
        <v>126</v>
      </c>
      <c r="B3" s="774"/>
      <c r="C3" s="774"/>
      <c r="D3" s="774"/>
      <c r="E3" s="774"/>
      <c r="F3" s="774"/>
      <c r="G3" s="774"/>
      <c r="H3" s="774"/>
      <c r="I3" s="774"/>
      <c r="J3" s="774"/>
      <c r="K3" s="774"/>
      <c r="L3" s="774"/>
      <c r="M3" s="774"/>
      <c r="N3" s="774"/>
      <c r="O3" s="774"/>
      <c r="P3" s="774"/>
      <c r="Q3" s="774"/>
      <c r="R3" s="774"/>
      <c r="S3" s="774"/>
      <c r="T3" s="774"/>
    </row>
    <row r="4" spans="1:20" ht="15.75">
      <c r="T4" s="27" t="s">
        <v>56</v>
      </c>
    </row>
    <row r="5" spans="1:20" ht="15.75">
      <c r="A5" s="773" t="s">
        <v>3</v>
      </c>
      <c r="B5" s="773" t="s">
        <v>161</v>
      </c>
      <c r="C5" s="773" t="s">
        <v>582</v>
      </c>
      <c r="D5" s="773" t="s">
        <v>661</v>
      </c>
      <c r="E5" s="773" t="s">
        <v>389</v>
      </c>
      <c r="F5" s="773" t="s">
        <v>390</v>
      </c>
      <c r="G5" s="773" t="s">
        <v>505</v>
      </c>
      <c r="H5" s="773" t="s">
        <v>506</v>
      </c>
      <c r="I5" s="773" t="s">
        <v>507</v>
      </c>
      <c r="J5" s="773" t="s">
        <v>508</v>
      </c>
      <c r="K5" s="773" t="s">
        <v>509</v>
      </c>
      <c r="L5" s="773" t="s">
        <v>510</v>
      </c>
      <c r="M5" s="773" t="s">
        <v>511</v>
      </c>
      <c r="N5" s="773" t="s">
        <v>512</v>
      </c>
      <c r="O5" s="773" t="s">
        <v>162</v>
      </c>
      <c r="P5" s="773"/>
      <c r="Q5" s="773" t="s">
        <v>513</v>
      </c>
      <c r="R5" s="773" t="s">
        <v>514</v>
      </c>
      <c r="S5" s="773" t="s">
        <v>515</v>
      </c>
      <c r="T5" s="773" t="s">
        <v>346</v>
      </c>
    </row>
    <row r="6" spans="1:20" ht="110.25">
      <c r="A6" s="773"/>
      <c r="B6" s="773"/>
      <c r="C6" s="773"/>
      <c r="D6" s="773"/>
      <c r="E6" s="773"/>
      <c r="F6" s="773"/>
      <c r="G6" s="773"/>
      <c r="H6" s="773"/>
      <c r="I6" s="773"/>
      <c r="J6" s="773"/>
      <c r="K6" s="773"/>
      <c r="L6" s="773"/>
      <c r="M6" s="773"/>
      <c r="N6" s="773"/>
      <c r="O6" s="30" t="s">
        <v>531</v>
      </c>
      <c r="P6" s="30" t="s">
        <v>532</v>
      </c>
      <c r="Q6" s="773"/>
      <c r="R6" s="773"/>
      <c r="S6" s="773"/>
      <c r="T6" s="773"/>
    </row>
    <row r="7" spans="1:20"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c r="S7" s="30">
        <v>17</v>
      </c>
      <c r="T7" s="30" t="s">
        <v>710</v>
      </c>
    </row>
    <row r="8" spans="1:20" ht="24" customHeight="1">
      <c r="A8" s="30"/>
      <c r="B8" s="31" t="s">
        <v>133</v>
      </c>
      <c r="C8" s="30"/>
      <c r="D8" s="30"/>
      <c r="E8" s="30"/>
      <c r="F8" s="30"/>
      <c r="G8" s="30"/>
      <c r="H8" s="30"/>
      <c r="I8" s="30"/>
      <c r="J8" s="30"/>
      <c r="K8" s="30"/>
      <c r="L8" s="30"/>
      <c r="M8" s="30"/>
      <c r="N8" s="30"/>
      <c r="O8" s="30"/>
      <c r="P8" s="30"/>
      <c r="Q8" s="30"/>
      <c r="R8" s="30"/>
      <c r="S8" s="30"/>
      <c r="T8" s="30"/>
    </row>
    <row r="9" spans="1:20" ht="24" customHeight="1">
      <c r="A9" s="30">
        <v>1</v>
      </c>
      <c r="B9" s="31" t="s">
        <v>166</v>
      </c>
      <c r="C9" s="29"/>
      <c r="D9" s="29"/>
      <c r="E9" s="29"/>
      <c r="F9" s="29"/>
      <c r="G9" s="29"/>
      <c r="H9" s="29"/>
      <c r="I9" s="29"/>
      <c r="J9" s="29"/>
      <c r="K9" s="29"/>
      <c r="L9" s="29"/>
      <c r="M9" s="29"/>
      <c r="N9" s="29"/>
      <c r="O9" s="29"/>
      <c r="P9" s="29"/>
      <c r="Q9" s="29"/>
      <c r="R9" s="29"/>
      <c r="S9" s="29"/>
      <c r="T9" s="29"/>
    </row>
    <row r="10" spans="1:20" ht="24" customHeight="1">
      <c r="A10" s="30">
        <v>2</v>
      </c>
      <c r="B10" s="31" t="s">
        <v>167</v>
      </c>
      <c r="C10" s="29"/>
      <c r="D10" s="29"/>
      <c r="E10" s="29"/>
      <c r="F10" s="29"/>
      <c r="G10" s="29"/>
      <c r="H10" s="29"/>
      <c r="I10" s="29"/>
      <c r="J10" s="29"/>
      <c r="K10" s="29"/>
      <c r="L10" s="29"/>
      <c r="M10" s="29"/>
      <c r="N10" s="29"/>
      <c r="O10" s="29"/>
      <c r="P10" s="29"/>
      <c r="Q10" s="29"/>
      <c r="R10" s="29"/>
      <c r="S10" s="29"/>
      <c r="T10" s="29"/>
    </row>
    <row r="11" spans="1:20" ht="24" customHeight="1">
      <c r="A11" s="30">
        <v>3</v>
      </c>
      <c r="B11" s="31" t="s">
        <v>711</v>
      </c>
      <c r="C11" s="29"/>
      <c r="D11" s="29"/>
      <c r="E11" s="29"/>
      <c r="F11" s="29"/>
      <c r="G11" s="29"/>
      <c r="H11" s="29"/>
      <c r="I11" s="29"/>
      <c r="J11" s="29"/>
      <c r="K11" s="29"/>
      <c r="L11" s="29"/>
      <c r="M11" s="29"/>
      <c r="N11" s="29"/>
      <c r="O11" s="29"/>
      <c r="P11" s="29"/>
      <c r="Q11" s="29"/>
      <c r="R11" s="29"/>
      <c r="S11" s="29"/>
      <c r="T11" s="29"/>
    </row>
    <row r="12" spans="1:20" ht="24" customHeight="1">
      <c r="A12" s="30">
        <v>4</v>
      </c>
      <c r="B12" s="31" t="s">
        <v>541</v>
      </c>
      <c r="C12" s="29"/>
      <c r="D12" s="29"/>
      <c r="E12" s="29"/>
      <c r="F12" s="29"/>
      <c r="G12" s="29"/>
      <c r="H12" s="29"/>
      <c r="I12" s="29"/>
      <c r="J12" s="29"/>
      <c r="K12" s="29"/>
      <c r="L12" s="29"/>
      <c r="M12" s="29"/>
      <c r="N12" s="29"/>
      <c r="O12" s="29"/>
      <c r="P12" s="29"/>
      <c r="Q12" s="29"/>
      <c r="R12" s="29"/>
      <c r="S12" s="29"/>
      <c r="T12" s="29"/>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21">
    <mergeCell ref="T5:T6"/>
    <mergeCell ref="A2:T2"/>
    <mergeCell ref="A3:T3"/>
    <mergeCell ref="M5:M6"/>
    <mergeCell ref="N5:N6"/>
    <mergeCell ref="O5:P5"/>
    <mergeCell ref="Q5:Q6"/>
    <mergeCell ref="R5:R6"/>
    <mergeCell ref="S5:S6"/>
    <mergeCell ref="G5:G6"/>
    <mergeCell ref="H5:H6"/>
    <mergeCell ref="I5:I6"/>
    <mergeCell ref="J5:J6"/>
    <mergeCell ref="K5:K6"/>
    <mergeCell ref="L5:L6"/>
    <mergeCell ref="A5:A6"/>
    <mergeCell ref="B5:B6"/>
    <mergeCell ref="C5:C6"/>
    <mergeCell ref="D5:D6"/>
    <mergeCell ref="E5:E6"/>
    <mergeCell ref="F5:F6"/>
  </mergeCells>
  <pageMargins left="0.7" right="0.7" top="0.75" bottom="0.75" header="0.3" footer="0.3"/>
</worksheet>
</file>

<file path=xl/worksheets/sheet57.xml><?xml version="1.0" encoding="utf-8"?>
<worksheet xmlns="http://schemas.openxmlformats.org/spreadsheetml/2006/main" xmlns:r="http://schemas.openxmlformats.org/officeDocument/2006/relationships">
  <sheetPr>
    <tabColor rgb="FF00B0F0"/>
  </sheetPr>
  <dimension ref="A1:T13"/>
  <sheetViews>
    <sheetView workbookViewId="0"/>
  </sheetViews>
  <sheetFormatPr defaultRowHeight="15"/>
  <cols>
    <col min="1" max="1" width="6.140625" customWidth="1"/>
    <col min="2" max="2" width="23.7109375" customWidth="1"/>
    <col min="17" max="17" width="10.28515625" customWidth="1"/>
  </cols>
  <sheetData>
    <row r="1" spans="1:20" ht="15.75">
      <c r="T1" s="26" t="s">
        <v>712</v>
      </c>
    </row>
    <row r="2" spans="1:20" ht="15.75">
      <c r="A2" s="774" t="s">
        <v>713</v>
      </c>
      <c r="B2" s="774"/>
      <c r="C2" s="774"/>
      <c r="D2" s="774"/>
      <c r="E2" s="774"/>
      <c r="F2" s="774"/>
      <c r="G2" s="774"/>
      <c r="H2" s="774"/>
      <c r="I2" s="774"/>
      <c r="J2" s="774"/>
      <c r="K2" s="774"/>
      <c r="L2" s="774"/>
      <c r="M2" s="774"/>
      <c r="N2" s="774"/>
      <c r="O2" s="774"/>
      <c r="P2" s="774"/>
      <c r="Q2" s="774"/>
      <c r="R2" s="774"/>
      <c r="S2" s="774"/>
      <c r="T2" s="774"/>
    </row>
    <row r="3" spans="1:20" ht="15.75">
      <c r="A3" s="774" t="s">
        <v>126</v>
      </c>
      <c r="B3" s="774"/>
      <c r="C3" s="774"/>
      <c r="D3" s="774"/>
      <c r="E3" s="774"/>
      <c r="F3" s="774"/>
      <c r="G3" s="774"/>
      <c r="H3" s="774"/>
      <c r="I3" s="774"/>
      <c r="J3" s="774"/>
      <c r="K3" s="774"/>
      <c r="L3" s="774"/>
      <c r="M3" s="774"/>
      <c r="N3" s="774"/>
      <c r="O3" s="774"/>
      <c r="P3" s="774"/>
      <c r="Q3" s="774"/>
      <c r="R3" s="774"/>
      <c r="S3" s="774"/>
      <c r="T3" s="774"/>
    </row>
    <row r="4" spans="1:20" ht="15.75">
      <c r="T4" s="27" t="s">
        <v>56</v>
      </c>
    </row>
    <row r="5" spans="1:20" ht="15.75">
      <c r="A5" s="773" t="s">
        <v>3</v>
      </c>
      <c r="B5" s="773" t="s">
        <v>161</v>
      </c>
      <c r="C5" s="773" t="s">
        <v>582</v>
      </c>
      <c r="D5" s="773" t="s">
        <v>661</v>
      </c>
      <c r="E5" s="773" t="s">
        <v>389</v>
      </c>
      <c r="F5" s="773" t="s">
        <v>390</v>
      </c>
      <c r="G5" s="773" t="s">
        <v>505</v>
      </c>
      <c r="H5" s="773" t="s">
        <v>506</v>
      </c>
      <c r="I5" s="773" t="s">
        <v>507</v>
      </c>
      <c r="J5" s="773" t="s">
        <v>508</v>
      </c>
      <c r="K5" s="773" t="s">
        <v>509</v>
      </c>
      <c r="L5" s="773" t="s">
        <v>510</v>
      </c>
      <c r="M5" s="773" t="s">
        <v>511</v>
      </c>
      <c r="N5" s="773" t="s">
        <v>512</v>
      </c>
      <c r="O5" s="773" t="s">
        <v>162</v>
      </c>
      <c r="P5" s="773"/>
      <c r="Q5" s="773" t="s">
        <v>513</v>
      </c>
      <c r="R5" s="773" t="s">
        <v>514</v>
      </c>
      <c r="S5" s="773" t="s">
        <v>515</v>
      </c>
      <c r="T5" s="773" t="s">
        <v>346</v>
      </c>
    </row>
    <row r="6" spans="1:20" ht="110.25">
      <c r="A6" s="773"/>
      <c r="B6" s="773"/>
      <c r="C6" s="773"/>
      <c r="D6" s="773"/>
      <c r="E6" s="773"/>
      <c r="F6" s="773"/>
      <c r="G6" s="773"/>
      <c r="H6" s="773"/>
      <c r="I6" s="773"/>
      <c r="J6" s="773"/>
      <c r="K6" s="773"/>
      <c r="L6" s="773"/>
      <c r="M6" s="773"/>
      <c r="N6" s="773"/>
      <c r="O6" s="30" t="s">
        <v>531</v>
      </c>
      <c r="P6" s="30" t="s">
        <v>532</v>
      </c>
      <c r="Q6" s="773"/>
      <c r="R6" s="773"/>
      <c r="S6" s="773"/>
      <c r="T6" s="773"/>
    </row>
    <row r="7" spans="1:20"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c r="S7" s="30">
        <v>17</v>
      </c>
      <c r="T7" s="30" t="s">
        <v>714</v>
      </c>
    </row>
    <row r="8" spans="1:20" ht="24" customHeight="1">
      <c r="A8" s="30"/>
      <c r="B8" s="31" t="s">
        <v>133</v>
      </c>
      <c r="C8" s="30"/>
      <c r="D8" s="30"/>
      <c r="E8" s="30"/>
      <c r="F8" s="30"/>
      <c r="G8" s="30"/>
      <c r="H8" s="30"/>
      <c r="I8" s="30"/>
      <c r="J8" s="30"/>
      <c r="K8" s="30"/>
      <c r="L8" s="30"/>
      <c r="M8" s="30"/>
      <c r="N8" s="30"/>
      <c r="O8" s="30"/>
      <c r="P8" s="30"/>
      <c r="Q8" s="30"/>
      <c r="R8" s="30"/>
      <c r="S8" s="30"/>
      <c r="T8" s="30"/>
    </row>
    <row r="9" spans="1:20" ht="24" customHeight="1">
      <c r="A9" s="30">
        <v>1</v>
      </c>
      <c r="B9" s="31" t="s">
        <v>166</v>
      </c>
      <c r="C9" s="29"/>
      <c r="D9" s="29"/>
      <c r="E9" s="29"/>
      <c r="F9" s="29"/>
      <c r="G9" s="29"/>
      <c r="H9" s="29"/>
      <c r="I9" s="29"/>
      <c r="J9" s="29"/>
      <c r="K9" s="29"/>
      <c r="L9" s="29"/>
      <c r="M9" s="29"/>
      <c r="N9" s="29"/>
      <c r="O9" s="29"/>
      <c r="P9" s="29"/>
      <c r="Q9" s="29"/>
      <c r="R9" s="29"/>
      <c r="S9" s="29"/>
      <c r="T9" s="29"/>
    </row>
    <row r="10" spans="1:20" ht="24" customHeight="1">
      <c r="A10" s="30">
        <v>2</v>
      </c>
      <c r="B10" s="31" t="s">
        <v>167</v>
      </c>
      <c r="C10" s="29"/>
      <c r="D10" s="29"/>
      <c r="E10" s="29"/>
      <c r="F10" s="29"/>
      <c r="G10" s="29"/>
      <c r="H10" s="29"/>
      <c r="I10" s="29"/>
      <c r="J10" s="29"/>
      <c r="K10" s="29"/>
      <c r="L10" s="29"/>
      <c r="M10" s="29"/>
      <c r="N10" s="29"/>
      <c r="O10" s="29"/>
      <c r="P10" s="29"/>
      <c r="Q10" s="29"/>
      <c r="R10" s="29"/>
      <c r="S10" s="29"/>
      <c r="T10" s="29"/>
    </row>
    <row r="11" spans="1:20" ht="24" customHeight="1">
      <c r="A11" s="30">
        <v>3</v>
      </c>
      <c r="B11" s="31" t="s">
        <v>711</v>
      </c>
      <c r="C11" s="29"/>
      <c r="D11" s="29"/>
      <c r="E11" s="29"/>
      <c r="F11" s="29"/>
      <c r="G11" s="29"/>
      <c r="H11" s="29"/>
      <c r="I11" s="29"/>
      <c r="J11" s="29"/>
      <c r="K11" s="29"/>
      <c r="L11" s="29"/>
      <c r="M11" s="29"/>
      <c r="N11" s="29"/>
      <c r="O11" s="29"/>
      <c r="P11" s="29"/>
      <c r="Q11" s="29"/>
      <c r="R11" s="29"/>
      <c r="S11" s="29"/>
      <c r="T11" s="29"/>
    </row>
    <row r="12" spans="1:20" ht="24" customHeight="1">
      <c r="A12" s="30">
        <v>4</v>
      </c>
      <c r="B12" s="31" t="s">
        <v>541</v>
      </c>
      <c r="C12" s="29"/>
      <c r="D12" s="29"/>
      <c r="E12" s="29"/>
      <c r="F12" s="29"/>
      <c r="G12" s="29"/>
      <c r="H12" s="29"/>
      <c r="I12" s="29"/>
      <c r="J12" s="29"/>
      <c r="K12" s="29"/>
      <c r="L12" s="29"/>
      <c r="M12" s="29"/>
      <c r="N12" s="29"/>
      <c r="O12" s="29"/>
      <c r="P12" s="29"/>
      <c r="Q12" s="29"/>
      <c r="R12" s="29"/>
      <c r="S12" s="29"/>
      <c r="T12" s="29"/>
    </row>
    <row r="13" spans="1:20" ht="24" customHeight="1"/>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21">
    <mergeCell ref="T5:T6"/>
    <mergeCell ref="A2:T2"/>
    <mergeCell ref="A3:T3"/>
    <mergeCell ref="M5:M6"/>
    <mergeCell ref="N5:N6"/>
    <mergeCell ref="O5:P5"/>
    <mergeCell ref="Q5:Q6"/>
    <mergeCell ref="R5:R6"/>
    <mergeCell ref="S5:S6"/>
    <mergeCell ref="G5:G6"/>
    <mergeCell ref="H5:H6"/>
    <mergeCell ref="I5:I6"/>
    <mergeCell ref="J5:J6"/>
    <mergeCell ref="K5:K6"/>
    <mergeCell ref="L5:L6"/>
    <mergeCell ref="A5:A6"/>
    <mergeCell ref="B5:B6"/>
    <mergeCell ref="C5:C6"/>
    <mergeCell ref="D5:D6"/>
    <mergeCell ref="E5:E6"/>
    <mergeCell ref="F5:F6"/>
  </mergeCells>
  <pageMargins left="0.7" right="0.7" top="0.75" bottom="0.75" header="0.3" footer="0.3"/>
</worksheet>
</file>

<file path=xl/worksheets/sheet58.xml><?xml version="1.0" encoding="utf-8"?>
<worksheet xmlns="http://schemas.openxmlformats.org/spreadsheetml/2006/main" xmlns:r="http://schemas.openxmlformats.org/officeDocument/2006/relationships">
  <sheetPr>
    <tabColor rgb="FF00B0F0"/>
  </sheetPr>
  <dimension ref="A1:J12"/>
  <sheetViews>
    <sheetView workbookViewId="0"/>
  </sheetViews>
  <sheetFormatPr defaultRowHeight="15"/>
  <cols>
    <col min="1" max="1" width="6.7109375" customWidth="1"/>
    <col min="2" max="2" width="24.28515625" customWidth="1"/>
    <col min="3" max="10" width="10.7109375" customWidth="1"/>
  </cols>
  <sheetData>
    <row r="1" spans="1:10" ht="15.75">
      <c r="J1" s="26" t="s">
        <v>715</v>
      </c>
    </row>
    <row r="2" spans="1:10" ht="41.25" customHeight="1">
      <c r="A2" s="781" t="s">
        <v>716</v>
      </c>
      <c r="B2" s="781"/>
      <c r="C2" s="781"/>
      <c r="D2" s="781"/>
      <c r="E2" s="781"/>
      <c r="F2" s="781"/>
      <c r="G2" s="781"/>
      <c r="H2" s="781"/>
      <c r="I2" s="781"/>
      <c r="J2" s="781"/>
    </row>
    <row r="3" spans="1:10" ht="15.75">
      <c r="A3" s="781" t="s">
        <v>126</v>
      </c>
      <c r="B3" s="781"/>
      <c r="C3" s="781"/>
      <c r="D3" s="781"/>
      <c r="E3" s="781"/>
      <c r="F3" s="781"/>
      <c r="G3" s="781"/>
      <c r="H3" s="781"/>
      <c r="I3" s="781"/>
      <c r="J3" s="781"/>
    </row>
    <row r="4" spans="1:10" ht="15.75">
      <c r="J4" s="27" t="s">
        <v>56</v>
      </c>
    </row>
    <row r="5" spans="1:10" ht="15.75">
      <c r="A5" s="773" t="s">
        <v>3</v>
      </c>
      <c r="B5" s="773" t="s">
        <v>161</v>
      </c>
      <c r="C5" s="773" t="s">
        <v>717</v>
      </c>
      <c r="D5" s="773" t="s">
        <v>468</v>
      </c>
      <c r="E5" s="773"/>
      <c r="F5" s="773"/>
      <c r="G5" s="773" t="s">
        <v>718</v>
      </c>
      <c r="H5" s="773" t="s">
        <v>719</v>
      </c>
      <c r="I5" s="773" t="s">
        <v>162</v>
      </c>
      <c r="J5" s="773"/>
    </row>
    <row r="6" spans="1:10" ht="47.25">
      <c r="A6" s="773"/>
      <c r="B6" s="773"/>
      <c r="C6" s="773"/>
      <c r="D6" s="30" t="s">
        <v>720</v>
      </c>
      <c r="E6" s="30" t="s">
        <v>721</v>
      </c>
      <c r="F6" s="30" t="s">
        <v>722</v>
      </c>
      <c r="G6" s="773"/>
      <c r="H6" s="773"/>
      <c r="I6" s="30" t="s">
        <v>723</v>
      </c>
      <c r="J6" s="30" t="s">
        <v>724</v>
      </c>
    </row>
    <row r="7" spans="1:10" ht="15.75">
      <c r="A7" s="30" t="s">
        <v>15</v>
      </c>
      <c r="B7" s="30" t="s">
        <v>16</v>
      </c>
      <c r="C7" s="30" t="s">
        <v>725</v>
      </c>
      <c r="D7" s="30">
        <v>2</v>
      </c>
      <c r="E7" s="30">
        <v>3</v>
      </c>
      <c r="F7" s="30">
        <v>4</v>
      </c>
      <c r="G7" s="30">
        <v>5</v>
      </c>
      <c r="H7" s="30" t="s">
        <v>726</v>
      </c>
      <c r="I7" s="30">
        <v>7</v>
      </c>
      <c r="J7" s="30">
        <v>8</v>
      </c>
    </row>
    <row r="8" spans="1:10" ht="24.75" customHeight="1">
      <c r="A8" s="30"/>
      <c r="B8" s="31" t="s">
        <v>133</v>
      </c>
      <c r="C8" s="30"/>
      <c r="D8" s="30"/>
      <c r="E8" s="30"/>
      <c r="F8" s="30"/>
      <c r="G8" s="30"/>
      <c r="H8" s="30"/>
      <c r="I8" s="30"/>
      <c r="J8" s="30"/>
    </row>
    <row r="9" spans="1:10" ht="24.75" customHeight="1">
      <c r="A9" s="30">
        <v>1</v>
      </c>
      <c r="B9" s="31" t="s">
        <v>166</v>
      </c>
      <c r="C9" s="29"/>
      <c r="D9" s="29"/>
      <c r="E9" s="29"/>
      <c r="F9" s="29"/>
      <c r="G9" s="29"/>
      <c r="H9" s="29"/>
      <c r="I9" s="29"/>
      <c r="J9" s="29"/>
    </row>
    <row r="10" spans="1:10" ht="24.75" customHeight="1">
      <c r="A10" s="30">
        <v>2</v>
      </c>
      <c r="B10" s="31" t="s">
        <v>167</v>
      </c>
      <c r="C10" s="29"/>
      <c r="D10" s="29"/>
      <c r="E10" s="29"/>
      <c r="F10" s="29"/>
      <c r="G10" s="29"/>
      <c r="H10" s="29"/>
      <c r="I10" s="29"/>
      <c r="J10" s="29"/>
    </row>
    <row r="11" spans="1:10" ht="24.75" customHeight="1">
      <c r="A11" s="30">
        <v>3</v>
      </c>
      <c r="B11" s="31" t="s">
        <v>533</v>
      </c>
      <c r="C11" s="29"/>
      <c r="D11" s="29"/>
      <c r="E11" s="29"/>
      <c r="F11" s="29"/>
      <c r="G11" s="29"/>
      <c r="H11" s="29"/>
      <c r="I11" s="29"/>
      <c r="J11" s="29"/>
    </row>
    <row r="12" spans="1:10" ht="24.75" customHeight="1">
      <c r="A12" s="30"/>
      <c r="B12" s="31"/>
      <c r="C12" s="29"/>
      <c r="D12" s="29"/>
      <c r="E12" s="29"/>
      <c r="F12" s="29"/>
      <c r="G12" s="29"/>
      <c r="H12" s="29"/>
      <c r="I12" s="29"/>
      <c r="J12" s="29"/>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9">
    <mergeCell ref="I5:J5"/>
    <mergeCell ref="A2:J2"/>
    <mergeCell ref="A3:J3"/>
    <mergeCell ref="A5:A6"/>
    <mergeCell ref="B5:B6"/>
    <mergeCell ref="C5:C6"/>
    <mergeCell ref="D5:F5"/>
    <mergeCell ref="G5:G6"/>
    <mergeCell ref="H5:H6"/>
  </mergeCells>
  <pageMargins left="0.7" right="0.7" top="0.75" bottom="0.75" header="0.3" footer="0.3"/>
</worksheet>
</file>

<file path=xl/worksheets/sheet59.xml><?xml version="1.0" encoding="utf-8"?>
<worksheet xmlns="http://schemas.openxmlformats.org/spreadsheetml/2006/main" xmlns:r="http://schemas.openxmlformats.org/officeDocument/2006/relationships">
  <sheetPr>
    <tabColor rgb="FF00B0F0"/>
  </sheetPr>
  <dimension ref="A1:S31"/>
  <sheetViews>
    <sheetView workbookViewId="0"/>
  </sheetViews>
  <sheetFormatPr defaultRowHeight="15"/>
  <cols>
    <col min="1" max="1" width="6.28515625" customWidth="1"/>
    <col min="2" max="2" width="19.140625" customWidth="1"/>
    <col min="9" max="9" width="10.28515625" customWidth="1"/>
    <col min="12" max="12" width="9.5703125" customWidth="1"/>
  </cols>
  <sheetData>
    <row r="1" spans="1:19" ht="15.75">
      <c r="S1" s="26" t="s">
        <v>727</v>
      </c>
    </row>
    <row r="2" spans="1:19" ht="15.75">
      <c r="A2" s="781" t="s">
        <v>728</v>
      </c>
      <c r="B2" s="781"/>
      <c r="C2" s="781"/>
      <c r="D2" s="781"/>
      <c r="E2" s="781"/>
      <c r="F2" s="781"/>
      <c r="G2" s="781"/>
      <c r="H2" s="781"/>
      <c r="I2" s="781"/>
      <c r="J2" s="781"/>
      <c r="K2" s="781"/>
      <c r="L2" s="781"/>
      <c r="M2" s="781"/>
      <c r="N2" s="781"/>
      <c r="O2" s="781"/>
      <c r="P2" s="781"/>
      <c r="Q2" s="781"/>
      <c r="R2" s="781"/>
      <c r="S2" s="781"/>
    </row>
    <row r="3" spans="1:19" ht="15.75">
      <c r="A3" s="781" t="s">
        <v>458</v>
      </c>
      <c r="B3" s="781"/>
      <c r="C3" s="781"/>
      <c r="D3" s="781"/>
      <c r="E3" s="781"/>
      <c r="F3" s="781"/>
      <c r="G3" s="781"/>
      <c r="H3" s="781"/>
      <c r="I3" s="781"/>
      <c r="J3" s="781"/>
      <c r="K3" s="781"/>
      <c r="L3" s="781"/>
      <c r="M3" s="781"/>
      <c r="N3" s="781"/>
      <c r="O3" s="781"/>
      <c r="P3" s="781"/>
      <c r="Q3" s="781"/>
      <c r="R3" s="781"/>
      <c r="S3" s="781"/>
    </row>
    <row r="4" spans="1:19" ht="15.75">
      <c r="S4" s="27" t="s">
        <v>56</v>
      </c>
    </row>
    <row r="5" spans="1:19" ht="15.75">
      <c r="A5" s="773" t="s">
        <v>3</v>
      </c>
      <c r="B5" s="773" t="s">
        <v>467</v>
      </c>
      <c r="C5" s="773" t="s">
        <v>729</v>
      </c>
      <c r="D5" s="773"/>
      <c r="E5" s="773"/>
      <c r="F5" s="773" t="s">
        <v>661</v>
      </c>
      <c r="G5" s="773"/>
      <c r="H5" s="773"/>
      <c r="I5" s="773"/>
      <c r="J5" s="773"/>
      <c r="K5" s="773"/>
      <c r="L5" s="773"/>
      <c r="M5" s="773"/>
      <c r="N5" s="773"/>
      <c r="O5" s="773"/>
      <c r="P5" s="773"/>
      <c r="Q5" s="773" t="s">
        <v>346</v>
      </c>
      <c r="R5" s="773"/>
      <c r="S5" s="773"/>
    </row>
    <row r="6" spans="1:19" ht="15.75">
      <c r="A6" s="773"/>
      <c r="B6" s="773"/>
      <c r="C6" s="773" t="s">
        <v>130</v>
      </c>
      <c r="D6" s="773" t="s">
        <v>340</v>
      </c>
      <c r="E6" s="773" t="s">
        <v>149</v>
      </c>
      <c r="F6" s="773" t="s">
        <v>130</v>
      </c>
      <c r="G6" s="773" t="s">
        <v>340</v>
      </c>
      <c r="H6" s="773"/>
      <c r="I6" s="773"/>
      <c r="J6" s="773" t="s">
        <v>96</v>
      </c>
      <c r="K6" s="773"/>
      <c r="L6" s="773"/>
      <c r="M6" s="773" t="s">
        <v>730</v>
      </c>
      <c r="N6" s="773"/>
      <c r="O6" s="773"/>
      <c r="P6" s="773" t="s">
        <v>245</v>
      </c>
      <c r="Q6" s="773" t="s">
        <v>130</v>
      </c>
      <c r="R6" s="773" t="s">
        <v>340</v>
      </c>
      <c r="S6" s="773" t="s">
        <v>149</v>
      </c>
    </row>
    <row r="7" spans="1:19" ht="15.75">
      <c r="A7" s="773"/>
      <c r="B7" s="773"/>
      <c r="C7" s="773"/>
      <c r="D7" s="773"/>
      <c r="E7" s="773"/>
      <c r="F7" s="773"/>
      <c r="G7" s="773" t="s">
        <v>130</v>
      </c>
      <c r="H7" s="773" t="s">
        <v>162</v>
      </c>
      <c r="I7" s="773"/>
      <c r="J7" s="773" t="s">
        <v>130</v>
      </c>
      <c r="K7" s="773" t="s">
        <v>162</v>
      </c>
      <c r="L7" s="773"/>
      <c r="M7" s="773" t="s">
        <v>130</v>
      </c>
      <c r="N7" s="773" t="s">
        <v>162</v>
      </c>
      <c r="O7" s="773"/>
      <c r="P7" s="773"/>
      <c r="Q7" s="773"/>
      <c r="R7" s="773"/>
      <c r="S7" s="773"/>
    </row>
    <row r="8" spans="1:19" ht="63">
      <c r="A8" s="773"/>
      <c r="B8" s="773"/>
      <c r="C8" s="773"/>
      <c r="D8" s="773"/>
      <c r="E8" s="773"/>
      <c r="F8" s="773"/>
      <c r="G8" s="773"/>
      <c r="H8" s="30" t="s">
        <v>731</v>
      </c>
      <c r="I8" s="30" t="s">
        <v>390</v>
      </c>
      <c r="J8" s="773"/>
      <c r="K8" s="30" t="s">
        <v>731</v>
      </c>
      <c r="L8" s="30" t="s">
        <v>584</v>
      </c>
      <c r="M8" s="773"/>
      <c r="N8" s="30" t="s">
        <v>340</v>
      </c>
      <c r="O8" s="30" t="s">
        <v>96</v>
      </c>
      <c r="P8" s="773"/>
      <c r="Q8" s="773"/>
      <c r="R8" s="773"/>
      <c r="S8" s="773"/>
    </row>
    <row r="9" spans="1:19" ht="15.75">
      <c r="A9" s="30" t="s">
        <v>15</v>
      </c>
      <c r="B9" s="30" t="s">
        <v>16</v>
      </c>
      <c r="C9" s="30">
        <v>1</v>
      </c>
      <c r="D9" s="30">
        <v>2</v>
      </c>
      <c r="E9" s="30">
        <v>3</v>
      </c>
      <c r="F9" s="30">
        <v>4</v>
      </c>
      <c r="G9" s="30">
        <v>5</v>
      </c>
      <c r="H9" s="30">
        <v>6</v>
      </c>
      <c r="I9" s="30">
        <v>7</v>
      </c>
      <c r="J9" s="30">
        <v>8</v>
      </c>
      <c r="K9" s="30">
        <v>9</v>
      </c>
      <c r="L9" s="30">
        <v>10</v>
      </c>
      <c r="M9" s="30">
        <v>11</v>
      </c>
      <c r="N9" s="30">
        <v>12</v>
      </c>
      <c r="O9" s="30">
        <v>13</v>
      </c>
      <c r="P9" s="30">
        <v>14</v>
      </c>
      <c r="Q9" s="30" t="s">
        <v>732</v>
      </c>
      <c r="R9" s="30" t="s">
        <v>733</v>
      </c>
      <c r="S9" s="30">
        <v>17</v>
      </c>
    </row>
    <row r="10" spans="1:19" ht="15.75">
      <c r="A10" s="31"/>
      <c r="B10" s="31" t="s">
        <v>133</v>
      </c>
      <c r="C10" s="29"/>
      <c r="D10" s="29"/>
      <c r="E10" s="29"/>
      <c r="F10" s="29"/>
      <c r="G10" s="29"/>
      <c r="H10" s="29"/>
      <c r="I10" s="29"/>
      <c r="J10" s="29"/>
      <c r="K10" s="29"/>
      <c r="L10" s="29"/>
      <c r="M10" s="29"/>
      <c r="N10" s="29"/>
      <c r="O10" s="29"/>
      <c r="P10" s="29"/>
      <c r="Q10" s="29"/>
      <c r="R10" s="29"/>
      <c r="S10" s="29"/>
    </row>
    <row r="11" spans="1:19" ht="15.75">
      <c r="A11" s="29">
        <v>1</v>
      </c>
      <c r="B11" s="32" t="s">
        <v>169</v>
      </c>
      <c r="C11" s="29"/>
      <c r="D11" s="29"/>
      <c r="E11" s="29"/>
      <c r="F11" s="29"/>
      <c r="G11" s="29"/>
      <c r="H11" s="29"/>
      <c r="I11" s="29"/>
      <c r="J11" s="29"/>
      <c r="K11" s="29"/>
      <c r="L11" s="29"/>
      <c r="M11" s="29"/>
      <c r="N11" s="29"/>
      <c r="O11" s="29"/>
      <c r="P11" s="29"/>
      <c r="Q11" s="29"/>
      <c r="R11" s="29"/>
      <c r="S11" s="29"/>
    </row>
    <row r="12" spans="1:19" ht="15.75">
      <c r="A12" s="29">
        <v>2</v>
      </c>
      <c r="B12" s="32" t="s">
        <v>170</v>
      </c>
      <c r="C12" s="29"/>
      <c r="D12" s="29"/>
      <c r="E12" s="29"/>
      <c r="F12" s="29"/>
      <c r="G12" s="29"/>
      <c r="H12" s="29"/>
      <c r="I12" s="29"/>
      <c r="J12" s="29"/>
      <c r="K12" s="29"/>
      <c r="L12" s="29"/>
      <c r="M12" s="29"/>
      <c r="N12" s="29"/>
      <c r="O12" s="29"/>
      <c r="P12" s="29"/>
      <c r="Q12" s="29"/>
      <c r="R12" s="29"/>
      <c r="S12" s="29"/>
    </row>
    <row r="13" spans="1:19" ht="15.75">
      <c r="A13" s="29">
        <v>3</v>
      </c>
      <c r="B13" s="32" t="s">
        <v>540</v>
      </c>
      <c r="C13" s="29"/>
      <c r="D13" s="29"/>
      <c r="E13" s="29"/>
      <c r="F13" s="29"/>
      <c r="G13" s="29"/>
      <c r="H13" s="29"/>
      <c r="I13" s="29"/>
      <c r="J13" s="29"/>
      <c r="K13" s="29"/>
      <c r="L13" s="29"/>
      <c r="M13" s="29"/>
      <c r="N13" s="29"/>
      <c r="O13" s="29"/>
      <c r="P13" s="29"/>
      <c r="Q13" s="29"/>
      <c r="R13" s="29"/>
      <c r="S13" s="29"/>
    </row>
    <row r="14" spans="1:19" ht="15.75">
      <c r="A14" s="29">
        <v>4</v>
      </c>
      <c r="B14" s="32" t="s">
        <v>172</v>
      </c>
      <c r="C14" s="29"/>
      <c r="D14" s="29"/>
      <c r="E14" s="29"/>
      <c r="F14" s="29"/>
      <c r="G14" s="29"/>
      <c r="H14" s="29"/>
      <c r="I14" s="29"/>
      <c r="J14" s="29"/>
      <c r="K14" s="29"/>
      <c r="L14" s="29"/>
      <c r="M14" s="29"/>
      <c r="N14" s="29"/>
      <c r="O14" s="29"/>
      <c r="P14" s="29"/>
      <c r="Q14" s="29"/>
      <c r="R14" s="29"/>
      <c r="S14" s="29"/>
    </row>
    <row r="15" spans="1:19" ht="15.75">
      <c r="A15" s="29">
        <v>5</v>
      </c>
      <c r="B15" s="32" t="s">
        <v>198</v>
      </c>
      <c r="C15" s="29"/>
      <c r="D15" s="29"/>
      <c r="E15" s="29"/>
      <c r="F15" s="29"/>
      <c r="G15" s="29"/>
      <c r="H15" s="29"/>
      <c r="I15" s="29"/>
      <c r="J15" s="29"/>
      <c r="K15" s="29"/>
      <c r="L15" s="29"/>
      <c r="M15" s="29"/>
      <c r="N15" s="29"/>
      <c r="O15" s="29"/>
      <c r="P15" s="29"/>
      <c r="Q15" s="29"/>
      <c r="R15" s="29"/>
      <c r="S15" s="29"/>
    </row>
    <row r="16" spans="1:19" ht="15.75">
      <c r="A16" s="29">
        <v>6</v>
      </c>
      <c r="B16" s="32" t="s">
        <v>174</v>
      </c>
      <c r="C16" s="29"/>
      <c r="D16" s="29"/>
      <c r="E16" s="29"/>
      <c r="F16" s="29"/>
      <c r="G16" s="29"/>
      <c r="H16" s="29"/>
      <c r="I16" s="29"/>
      <c r="J16" s="29"/>
      <c r="K16" s="29"/>
      <c r="L16" s="29"/>
      <c r="M16" s="29"/>
      <c r="N16" s="29"/>
      <c r="O16" s="29"/>
      <c r="P16" s="29"/>
      <c r="Q16" s="29"/>
      <c r="R16" s="29"/>
      <c r="S16" s="29"/>
    </row>
    <row r="17" spans="1:19" ht="15.75">
      <c r="A17" s="29">
        <v>7</v>
      </c>
      <c r="B17" s="32" t="s">
        <v>175</v>
      </c>
      <c r="C17" s="29"/>
      <c r="D17" s="29"/>
      <c r="E17" s="29"/>
      <c r="F17" s="29"/>
      <c r="G17" s="29"/>
      <c r="H17" s="29"/>
      <c r="I17" s="29"/>
      <c r="J17" s="29"/>
      <c r="K17" s="29"/>
      <c r="L17" s="29"/>
      <c r="M17" s="29"/>
      <c r="N17" s="29"/>
      <c r="O17" s="29"/>
      <c r="P17" s="29"/>
      <c r="Q17" s="29"/>
      <c r="R17" s="29"/>
      <c r="S17" s="29"/>
    </row>
    <row r="18" spans="1:19" ht="15.75">
      <c r="A18" s="29">
        <v>8</v>
      </c>
      <c r="B18" s="32" t="s">
        <v>542</v>
      </c>
      <c r="C18" s="29"/>
      <c r="D18" s="29"/>
      <c r="E18" s="29"/>
      <c r="F18" s="29"/>
      <c r="G18" s="29"/>
      <c r="H18" s="29"/>
      <c r="I18" s="29"/>
      <c r="J18" s="29"/>
      <c r="K18" s="29"/>
      <c r="L18" s="29"/>
      <c r="M18" s="29"/>
      <c r="N18" s="29"/>
      <c r="O18" s="29"/>
      <c r="P18" s="29"/>
      <c r="Q18" s="29"/>
      <c r="R18" s="29"/>
      <c r="S18" s="29"/>
    </row>
    <row r="19" spans="1:19" ht="15.75">
      <c r="A19" s="29">
        <v>9</v>
      </c>
      <c r="B19" s="32" t="s">
        <v>198</v>
      </c>
      <c r="C19" s="29"/>
      <c r="D19" s="29"/>
      <c r="E19" s="29"/>
      <c r="F19" s="29"/>
      <c r="G19" s="29"/>
      <c r="H19" s="29"/>
      <c r="I19" s="29"/>
      <c r="J19" s="29"/>
      <c r="K19" s="29"/>
      <c r="L19" s="29"/>
      <c r="M19" s="29"/>
      <c r="N19" s="29"/>
      <c r="O19" s="29"/>
      <c r="P19" s="29"/>
      <c r="Q19" s="29"/>
      <c r="R19" s="29"/>
      <c r="S19" s="29"/>
    </row>
    <row r="20" spans="1:19" ht="15.75">
      <c r="A20" s="28" t="s">
        <v>573</v>
      </c>
    </row>
    <row r="21" spans="1:19" s="39" customFormat="1" ht="15.75">
      <c r="A21" s="34" t="s">
        <v>736</v>
      </c>
    </row>
    <row r="22" spans="1:19" ht="15.75">
      <c r="A22" s="34" t="s">
        <v>734</v>
      </c>
    </row>
    <row r="23" spans="1:19" ht="15.75">
      <c r="A23" s="34" t="s">
        <v>735</v>
      </c>
    </row>
    <row r="24" spans="1:19">
      <c r="A24" s="42"/>
    </row>
    <row r="25" spans="1:19">
      <c r="A25" s="42"/>
    </row>
    <row r="26" spans="1:19">
      <c r="A26" s="42"/>
    </row>
    <row r="27" spans="1:19">
      <c r="A27" s="42"/>
    </row>
    <row r="28" spans="1:19">
      <c r="A28" s="42"/>
    </row>
    <row r="29" spans="1:19">
      <c r="A29" s="42"/>
    </row>
    <row r="30" spans="1:19">
      <c r="A30" s="42"/>
    </row>
    <row r="31" spans="1:19">
      <c r="A31" s="42"/>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24">
    <mergeCell ref="A2:S2"/>
    <mergeCell ref="A3:S3"/>
    <mergeCell ref="G7:G8"/>
    <mergeCell ref="H7:I7"/>
    <mergeCell ref="J7:J8"/>
    <mergeCell ref="K7:L7"/>
    <mergeCell ref="M7:M8"/>
    <mergeCell ref="N7:O7"/>
    <mergeCell ref="J6:L6"/>
    <mergeCell ref="M6:O6"/>
    <mergeCell ref="P6:P8"/>
    <mergeCell ref="Q6:Q8"/>
    <mergeCell ref="R6:R8"/>
    <mergeCell ref="S6:S8"/>
    <mergeCell ref="A5:A8"/>
    <mergeCell ref="B5:B8"/>
    <mergeCell ref="C5:E5"/>
    <mergeCell ref="F5:P5"/>
    <mergeCell ref="Q5:S5"/>
    <mergeCell ref="C6:C8"/>
    <mergeCell ref="D6:D8"/>
    <mergeCell ref="E6:E8"/>
    <mergeCell ref="F6:F8"/>
    <mergeCell ref="G6:I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7" tint="0.39997558519241921"/>
  </sheetPr>
  <dimension ref="A1:U30"/>
  <sheetViews>
    <sheetView workbookViewId="0">
      <selection sqref="A1:U1"/>
    </sheetView>
  </sheetViews>
  <sheetFormatPr defaultColWidth="9.140625" defaultRowHeight="15"/>
  <cols>
    <col min="1" max="1" width="5.85546875" style="1" customWidth="1"/>
    <col min="2" max="2" width="45" style="1" customWidth="1"/>
    <col min="3" max="16384" width="9.140625" style="1"/>
  </cols>
  <sheetData>
    <row r="1" spans="1:21">
      <c r="A1" s="706" t="s">
        <v>206</v>
      </c>
      <c r="B1" s="706"/>
      <c r="C1" s="706"/>
      <c r="D1" s="706"/>
      <c r="E1" s="706"/>
      <c r="F1" s="706"/>
      <c r="G1" s="706"/>
      <c r="H1" s="706"/>
      <c r="I1" s="706"/>
      <c r="J1" s="706"/>
      <c r="K1" s="706"/>
      <c r="L1" s="706"/>
      <c r="M1" s="706"/>
      <c r="N1" s="706"/>
      <c r="O1" s="706"/>
      <c r="P1" s="706"/>
      <c r="Q1" s="706"/>
      <c r="R1" s="706"/>
      <c r="S1" s="706"/>
      <c r="T1" s="706"/>
      <c r="U1" s="706"/>
    </row>
    <row r="2" spans="1:21" ht="53.25" customHeight="1">
      <c r="A2" s="701" t="s">
        <v>207</v>
      </c>
      <c r="B2" s="701"/>
      <c r="C2" s="701"/>
      <c r="D2" s="701"/>
      <c r="E2" s="701"/>
      <c r="F2" s="701"/>
      <c r="G2" s="701"/>
      <c r="H2" s="701"/>
      <c r="I2" s="701"/>
      <c r="J2" s="701"/>
      <c r="K2" s="701"/>
      <c r="L2" s="701"/>
      <c r="M2" s="701"/>
      <c r="N2" s="701"/>
      <c r="O2" s="701"/>
      <c r="P2" s="701"/>
      <c r="Q2" s="701"/>
      <c r="R2" s="701"/>
      <c r="S2" s="701"/>
      <c r="T2" s="701"/>
      <c r="U2" s="701"/>
    </row>
    <row r="3" spans="1:21">
      <c r="A3" s="707" t="s">
        <v>126</v>
      </c>
      <c r="B3" s="707"/>
      <c r="C3" s="707"/>
      <c r="D3" s="707"/>
      <c r="E3" s="707"/>
      <c r="F3" s="707"/>
      <c r="G3" s="707"/>
      <c r="H3" s="707"/>
      <c r="I3" s="707"/>
      <c r="J3" s="707"/>
      <c r="K3" s="707"/>
      <c r="L3" s="707"/>
      <c r="M3" s="707"/>
      <c r="N3" s="707"/>
      <c r="O3" s="707"/>
      <c r="P3" s="707"/>
      <c r="Q3" s="707"/>
      <c r="R3" s="707"/>
      <c r="S3" s="707"/>
      <c r="T3" s="707"/>
      <c r="U3" s="707"/>
    </row>
    <row r="4" spans="1:21">
      <c r="S4" s="708" t="s">
        <v>56</v>
      </c>
      <c r="T4" s="708"/>
      <c r="U4" s="708"/>
    </row>
    <row r="5" spans="1:21">
      <c r="A5" s="716" t="s">
        <v>3</v>
      </c>
      <c r="B5" s="716" t="s">
        <v>180</v>
      </c>
      <c r="C5" s="716" t="s">
        <v>181</v>
      </c>
      <c r="D5" s="716" t="s">
        <v>182</v>
      </c>
      <c r="E5" s="716" t="s">
        <v>183</v>
      </c>
      <c r="F5" s="716" t="s">
        <v>184</v>
      </c>
      <c r="G5" s="716"/>
      <c r="H5" s="716"/>
      <c r="I5" s="716"/>
      <c r="J5" s="716"/>
      <c r="K5" s="716"/>
      <c r="L5" s="716"/>
      <c r="M5" s="716" t="s">
        <v>208</v>
      </c>
      <c r="N5" s="716"/>
      <c r="O5" s="716"/>
      <c r="P5" s="716"/>
      <c r="Q5" s="716" t="s">
        <v>209</v>
      </c>
      <c r="R5" s="716"/>
      <c r="S5" s="716"/>
      <c r="T5" s="716"/>
      <c r="U5" s="716" t="s">
        <v>129</v>
      </c>
    </row>
    <row r="6" spans="1:21">
      <c r="A6" s="716"/>
      <c r="B6" s="716"/>
      <c r="C6" s="716"/>
      <c r="D6" s="716"/>
      <c r="E6" s="716"/>
      <c r="F6" s="716" t="s">
        <v>210</v>
      </c>
      <c r="G6" s="716" t="s">
        <v>188</v>
      </c>
      <c r="H6" s="716"/>
      <c r="I6" s="716"/>
      <c r="J6" s="716"/>
      <c r="K6" s="716"/>
      <c r="L6" s="716"/>
      <c r="M6" s="716" t="s">
        <v>189</v>
      </c>
      <c r="N6" s="716" t="s">
        <v>162</v>
      </c>
      <c r="O6" s="716"/>
      <c r="P6" s="716"/>
      <c r="Q6" s="716" t="s">
        <v>189</v>
      </c>
      <c r="R6" s="716" t="s">
        <v>162</v>
      </c>
      <c r="S6" s="716"/>
      <c r="T6" s="716"/>
      <c r="U6" s="716"/>
    </row>
    <row r="7" spans="1:21">
      <c r="A7" s="716"/>
      <c r="B7" s="716"/>
      <c r="C7" s="716"/>
      <c r="D7" s="716"/>
      <c r="E7" s="716"/>
      <c r="F7" s="716"/>
      <c r="G7" s="716" t="s">
        <v>189</v>
      </c>
      <c r="H7" s="716" t="s">
        <v>188</v>
      </c>
      <c r="I7" s="716"/>
      <c r="J7" s="716"/>
      <c r="K7" s="716"/>
      <c r="L7" s="716"/>
      <c r="M7" s="716"/>
      <c r="N7" s="716" t="s">
        <v>211</v>
      </c>
      <c r="O7" s="716"/>
      <c r="P7" s="716" t="s">
        <v>212</v>
      </c>
      <c r="Q7" s="716"/>
      <c r="R7" s="716" t="s">
        <v>211</v>
      </c>
      <c r="S7" s="716"/>
      <c r="T7" s="716" t="s">
        <v>212</v>
      </c>
      <c r="U7" s="716"/>
    </row>
    <row r="8" spans="1:21">
      <c r="A8" s="716"/>
      <c r="B8" s="716"/>
      <c r="C8" s="716"/>
      <c r="D8" s="716"/>
      <c r="E8" s="716"/>
      <c r="F8" s="716"/>
      <c r="G8" s="716"/>
      <c r="H8" s="716" t="s">
        <v>211</v>
      </c>
      <c r="I8" s="716"/>
      <c r="J8" s="716"/>
      <c r="K8" s="716" t="s">
        <v>213</v>
      </c>
      <c r="L8" s="716"/>
      <c r="M8" s="716"/>
      <c r="N8" s="716" t="s">
        <v>130</v>
      </c>
      <c r="O8" s="716" t="s">
        <v>214</v>
      </c>
      <c r="P8" s="716"/>
      <c r="Q8" s="716"/>
      <c r="R8" s="716" t="s">
        <v>130</v>
      </c>
      <c r="S8" s="716" t="s">
        <v>214</v>
      </c>
      <c r="T8" s="716"/>
      <c r="U8" s="716"/>
    </row>
    <row r="9" spans="1:21">
      <c r="A9" s="716"/>
      <c r="B9" s="716"/>
      <c r="C9" s="716"/>
      <c r="D9" s="716"/>
      <c r="E9" s="716"/>
      <c r="F9" s="716"/>
      <c r="G9" s="716"/>
      <c r="H9" s="716" t="s">
        <v>130</v>
      </c>
      <c r="I9" s="716" t="s">
        <v>162</v>
      </c>
      <c r="J9" s="716"/>
      <c r="K9" s="716" t="s">
        <v>215</v>
      </c>
      <c r="L9" s="716" t="s">
        <v>216</v>
      </c>
      <c r="M9" s="716"/>
      <c r="N9" s="716"/>
      <c r="O9" s="716"/>
      <c r="P9" s="716"/>
      <c r="Q9" s="716"/>
      <c r="R9" s="716"/>
      <c r="S9" s="716"/>
      <c r="T9" s="716"/>
      <c r="U9" s="716"/>
    </row>
    <row r="10" spans="1:21" ht="57">
      <c r="A10" s="716"/>
      <c r="B10" s="716"/>
      <c r="C10" s="716"/>
      <c r="D10" s="716"/>
      <c r="E10" s="716"/>
      <c r="F10" s="716"/>
      <c r="G10" s="716"/>
      <c r="H10" s="716"/>
      <c r="I10" s="18" t="s">
        <v>217</v>
      </c>
      <c r="J10" s="18" t="s">
        <v>218</v>
      </c>
      <c r="K10" s="716"/>
      <c r="L10" s="716"/>
      <c r="M10" s="716"/>
      <c r="N10" s="716"/>
      <c r="O10" s="716"/>
      <c r="P10" s="716"/>
      <c r="Q10" s="716"/>
      <c r="R10" s="716"/>
      <c r="S10" s="716"/>
      <c r="T10" s="716"/>
      <c r="U10" s="716"/>
    </row>
    <row r="11" spans="1:21">
      <c r="A11" s="18" t="s">
        <v>15</v>
      </c>
      <c r="B11" s="18" t="s">
        <v>16</v>
      </c>
      <c r="C11" s="18">
        <v>1</v>
      </c>
      <c r="D11" s="18">
        <v>2</v>
      </c>
      <c r="E11" s="18">
        <v>3</v>
      </c>
      <c r="F11" s="18">
        <v>4</v>
      </c>
      <c r="G11" s="18">
        <v>5</v>
      </c>
      <c r="H11" s="18">
        <v>6</v>
      </c>
      <c r="I11" s="18">
        <v>7</v>
      </c>
      <c r="J11" s="18">
        <v>8</v>
      </c>
      <c r="K11" s="18">
        <v>9</v>
      </c>
      <c r="L11" s="18">
        <v>10</v>
      </c>
      <c r="M11" s="18">
        <v>11</v>
      </c>
      <c r="N11" s="18">
        <v>12</v>
      </c>
      <c r="O11" s="18">
        <v>13</v>
      </c>
      <c r="P11" s="18">
        <v>14</v>
      </c>
      <c r="Q11" s="18">
        <v>15</v>
      </c>
      <c r="R11" s="18">
        <v>16</v>
      </c>
      <c r="S11" s="18">
        <v>17</v>
      </c>
      <c r="T11" s="18">
        <v>18</v>
      </c>
      <c r="U11" s="18">
        <v>19</v>
      </c>
    </row>
    <row r="12" spans="1:21">
      <c r="A12" s="18"/>
      <c r="B12" s="18" t="s">
        <v>130</v>
      </c>
      <c r="C12" s="18"/>
      <c r="D12" s="18"/>
      <c r="E12" s="18"/>
      <c r="F12" s="18"/>
      <c r="G12" s="19"/>
      <c r="H12" s="19"/>
      <c r="I12" s="19"/>
      <c r="J12" s="19"/>
      <c r="K12" s="19"/>
      <c r="L12" s="19"/>
      <c r="M12" s="19"/>
      <c r="N12" s="19"/>
      <c r="O12" s="19"/>
      <c r="P12" s="19"/>
      <c r="Q12" s="19"/>
      <c r="R12" s="19"/>
      <c r="S12" s="19"/>
      <c r="T12" s="19"/>
      <c r="U12" s="19"/>
    </row>
    <row r="13" spans="1:21">
      <c r="A13" s="18" t="s">
        <v>15</v>
      </c>
      <c r="B13" s="717" t="s">
        <v>219</v>
      </c>
      <c r="C13" s="717"/>
      <c r="D13" s="717"/>
      <c r="E13" s="717"/>
      <c r="F13" s="717"/>
      <c r="G13" s="19"/>
      <c r="H13" s="19"/>
      <c r="I13" s="19"/>
      <c r="J13" s="19"/>
      <c r="K13" s="19"/>
      <c r="L13" s="19"/>
      <c r="M13" s="19"/>
      <c r="N13" s="19"/>
      <c r="O13" s="19"/>
      <c r="P13" s="19"/>
      <c r="Q13" s="19"/>
      <c r="R13" s="19"/>
      <c r="S13" s="19"/>
      <c r="T13" s="19"/>
      <c r="U13" s="19"/>
    </row>
    <row r="14" spans="1:21">
      <c r="A14" s="18" t="s">
        <v>83</v>
      </c>
      <c r="B14" s="717" t="s">
        <v>220</v>
      </c>
      <c r="C14" s="717"/>
      <c r="D14" s="717"/>
      <c r="E14" s="717"/>
      <c r="F14" s="19"/>
      <c r="G14" s="19"/>
      <c r="H14" s="19"/>
      <c r="I14" s="19"/>
      <c r="J14" s="19"/>
      <c r="K14" s="19"/>
      <c r="L14" s="19"/>
      <c r="M14" s="19"/>
      <c r="N14" s="19"/>
      <c r="O14" s="19"/>
      <c r="P14" s="19"/>
      <c r="Q14" s="19"/>
      <c r="R14" s="19"/>
      <c r="S14" s="19"/>
      <c r="T14" s="19"/>
      <c r="U14" s="19"/>
    </row>
    <row r="15" spans="1:21">
      <c r="A15" s="18">
        <v>1</v>
      </c>
      <c r="B15" s="20" t="s">
        <v>193</v>
      </c>
      <c r="C15" s="19"/>
      <c r="D15" s="19"/>
      <c r="E15" s="19"/>
      <c r="F15" s="19"/>
      <c r="G15" s="19"/>
      <c r="H15" s="19"/>
      <c r="I15" s="19"/>
      <c r="J15" s="19"/>
      <c r="K15" s="19"/>
      <c r="L15" s="19"/>
      <c r="M15" s="19"/>
      <c r="N15" s="19"/>
      <c r="O15" s="19"/>
      <c r="P15" s="19"/>
      <c r="Q15" s="19"/>
      <c r="R15" s="19"/>
      <c r="S15" s="19"/>
      <c r="T15" s="19"/>
      <c r="U15" s="19"/>
    </row>
    <row r="16" spans="1:21">
      <c r="A16" s="19" t="s">
        <v>22</v>
      </c>
      <c r="B16" s="21" t="s">
        <v>221</v>
      </c>
      <c r="C16" s="19"/>
      <c r="D16" s="19"/>
      <c r="E16" s="19"/>
      <c r="F16" s="19"/>
      <c r="G16" s="19"/>
      <c r="H16" s="19"/>
      <c r="I16" s="19"/>
      <c r="J16" s="19"/>
      <c r="K16" s="19"/>
      <c r="L16" s="19"/>
      <c r="M16" s="19"/>
      <c r="N16" s="19"/>
      <c r="O16" s="19"/>
      <c r="P16" s="19"/>
      <c r="Q16" s="19"/>
      <c r="R16" s="19"/>
      <c r="S16" s="19"/>
      <c r="T16" s="19"/>
      <c r="U16" s="19"/>
    </row>
    <row r="17" spans="1:21">
      <c r="A17" s="19" t="s">
        <v>22</v>
      </c>
      <c r="B17" s="21" t="s">
        <v>201</v>
      </c>
      <c r="C17" s="19"/>
      <c r="D17" s="19"/>
      <c r="E17" s="19"/>
      <c r="F17" s="19"/>
      <c r="G17" s="19"/>
      <c r="H17" s="19"/>
      <c r="I17" s="19"/>
      <c r="J17" s="19"/>
      <c r="K17" s="19"/>
      <c r="L17" s="19"/>
      <c r="M17" s="19"/>
      <c r="N17" s="19"/>
      <c r="O17" s="19"/>
      <c r="P17" s="19"/>
      <c r="Q17" s="19"/>
      <c r="R17" s="19"/>
      <c r="S17" s="19"/>
      <c r="T17" s="19"/>
      <c r="U17" s="19"/>
    </row>
    <row r="18" spans="1:21">
      <c r="A18" s="18">
        <v>2</v>
      </c>
      <c r="B18" s="20" t="s">
        <v>195</v>
      </c>
      <c r="C18" s="19"/>
      <c r="D18" s="19"/>
      <c r="E18" s="19"/>
      <c r="F18" s="19"/>
      <c r="G18" s="19"/>
      <c r="H18" s="19"/>
      <c r="I18" s="19"/>
      <c r="J18" s="19"/>
      <c r="K18" s="19"/>
      <c r="L18" s="19"/>
      <c r="M18" s="19"/>
      <c r="N18" s="19"/>
      <c r="O18" s="19"/>
      <c r="P18" s="19"/>
      <c r="Q18" s="19"/>
      <c r="R18" s="19"/>
      <c r="S18" s="19"/>
      <c r="T18" s="19"/>
      <c r="U18" s="19"/>
    </row>
    <row r="19" spans="1:21">
      <c r="A19" s="18" t="s">
        <v>144</v>
      </c>
      <c r="B19" s="717" t="s">
        <v>222</v>
      </c>
      <c r="C19" s="717"/>
      <c r="D19" s="717"/>
      <c r="E19" s="717"/>
      <c r="F19" s="717"/>
      <c r="G19" s="717"/>
      <c r="H19" s="717"/>
      <c r="I19" s="19"/>
      <c r="J19" s="19"/>
      <c r="K19" s="19"/>
      <c r="L19" s="19"/>
      <c r="M19" s="19"/>
      <c r="N19" s="19"/>
      <c r="O19" s="19"/>
      <c r="P19" s="19"/>
      <c r="Q19" s="19"/>
      <c r="R19" s="19"/>
      <c r="S19" s="19"/>
      <c r="T19" s="19"/>
      <c r="U19" s="19"/>
    </row>
    <row r="20" spans="1:21">
      <c r="A20" s="19" t="s">
        <v>22</v>
      </c>
      <c r="B20" s="21" t="s">
        <v>197</v>
      </c>
      <c r="C20" s="19"/>
      <c r="D20" s="19"/>
      <c r="E20" s="19"/>
      <c r="F20" s="19"/>
      <c r="G20" s="19"/>
      <c r="H20" s="19"/>
      <c r="I20" s="19"/>
      <c r="J20" s="19"/>
      <c r="K20" s="19"/>
      <c r="L20" s="19"/>
      <c r="M20" s="19"/>
      <c r="N20" s="19"/>
      <c r="O20" s="19"/>
      <c r="P20" s="19"/>
      <c r="Q20" s="19"/>
      <c r="R20" s="19"/>
      <c r="S20" s="19"/>
      <c r="T20" s="19"/>
      <c r="U20" s="19"/>
    </row>
    <row r="21" spans="1:21">
      <c r="A21" s="19" t="s">
        <v>22</v>
      </c>
      <c r="B21" s="21" t="s">
        <v>173</v>
      </c>
      <c r="C21" s="19"/>
      <c r="D21" s="19"/>
      <c r="E21" s="19"/>
      <c r="F21" s="19"/>
      <c r="G21" s="19"/>
      <c r="H21" s="19"/>
      <c r="I21" s="19"/>
      <c r="J21" s="19"/>
      <c r="K21" s="19"/>
      <c r="L21" s="19"/>
      <c r="M21" s="19"/>
      <c r="N21" s="19"/>
      <c r="O21" s="19"/>
      <c r="P21" s="19"/>
      <c r="Q21" s="19"/>
      <c r="R21" s="19"/>
      <c r="S21" s="19"/>
      <c r="T21" s="19"/>
      <c r="U21" s="19"/>
    </row>
    <row r="22" spans="1:21">
      <c r="A22" s="18" t="s">
        <v>146</v>
      </c>
      <c r="B22" s="717" t="s">
        <v>199</v>
      </c>
      <c r="C22" s="717"/>
      <c r="D22" s="717"/>
      <c r="E22" s="717"/>
      <c r="F22" s="717"/>
      <c r="G22" s="19"/>
      <c r="H22" s="19"/>
      <c r="I22" s="19"/>
      <c r="J22" s="19"/>
      <c r="K22" s="19"/>
      <c r="L22" s="19"/>
      <c r="M22" s="19"/>
      <c r="N22" s="19"/>
      <c r="O22" s="19"/>
      <c r="P22" s="19"/>
      <c r="Q22" s="19"/>
      <c r="R22" s="19"/>
      <c r="S22" s="19"/>
      <c r="T22" s="19"/>
      <c r="U22" s="19"/>
    </row>
    <row r="23" spans="1:21">
      <c r="A23" s="19" t="s">
        <v>22</v>
      </c>
      <c r="B23" s="21" t="s">
        <v>200</v>
      </c>
      <c r="C23" s="19"/>
      <c r="D23" s="19"/>
      <c r="E23" s="19"/>
      <c r="F23" s="19"/>
      <c r="G23" s="19"/>
      <c r="H23" s="19"/>
      <c r="I23" s="19"/>
      <c r="J23" s="19"/>
      <c r="K23" s="19"/>
      <c r="L23" s="19"/>
      <c r="M23" s="19"/>
      <c r="N23" s="19"/>
      <c r="O23" s="19"/>
      <c r="P23" s="19"/>
      <c r="Q23" s="19"/>
      <c r="R23" s="19"/>
      <c r="S23" s="19"/>
      <c r="T23" s="19"/>
      <c r="U23" s="19"/>
    </row>
    <row r="24" spans="1:21">
      <c r="A24" s="19" t="s">
        <v>22</v>
      </c>
      <c r="B24" s="21" t="s">
        <v>223</v>
      </c>
      <c r="C24" s="19"/>
      <c r="D24" s="19"/>
      <c r="E24" s="19"/>
      <c r="F24" s="19"/>
      <c r="G24" s="19"/>
      <c r="H24" s="19"/>
      <c r="I24" s="19"/>
      <c r="J24" s="19"/>
      <c r="K24" s="19"/>
      <c r="L24" s="19"/>
      <c r="M24" s="19"/>
      <c r="N24" s="19"/>
      <c r="O24" s="19"/>
      <c r="P24" s="19"/>
      <c r="Q24" s="19"/>
      <c r="R24" s="19"/>
      <c r="S24" s="19"/>
      <c r="T24" s="19"/>
      <c r="U24" s="19"/>
    </row>
    <row r="25" spans="1:21">
      <c r="A25" s="18" t="s">
        <v>70</v>
      </c>
      <c r="B25" s="717" t="s">
        <v>220</v>
      </c>
      <c r="C25" s="717"/>
      <c r="D25" s="717"/>
      <c r="E25" s="717"/>
      <c r="F25" s="19"/>
      <c r="G25" s="19"/>
      <c r="H25" s="19"/>
      <c r="I25" s="19"/>
      <c r="J25" s="19"/>
      <c r="K25" s="19"/>
      <c r="L25" s="19"/>
      <c r="M25" s="19"/>
      <c r="N25" s="19"/>
      <c r="O25" s="19"/>
      <c r="P25" s="19"/>
      <c r="Q25" s="19"/>
      <c r="R25" s="19"/>
      <c r="S25" s="19"/>
      <c r="T25" s="19"/>
      <c r="U25" s="19"/>
    </row>
    <row r="26" spans="1:21">
      <c r="A26" s="19"/>
      <c r="B26" s="21" t="s">
        <v>202</v>
      </c>
      <c r="C26" s="19"/>
      <c r="D26" s="19"/>
      <c r="E26" s="19"/>
      <c r="F26" s="19"/>
      <c r="G26" s="19"/>
      <c r="H26" s="19"/>
      <c r="I26" s="19"/>
      <c r="J26" s="19"/>
      <c r="K26" s="19"/>
      <c r="L26" s="19"/>
      <c r="M26" s="19"/>
      <c r="N26" s="19"/>
      <c r="O26" s="19"/>
      <c r="P26" s="19"/>
      <c r="Q26" s="19"/>
      <c r="R26" s="19"/>
      <c r="S26" s="19"/>
      <c r="T26" s="19"/>
      <c r="U26" s="19"/>
    </row>
    <row r="27" spans="1:21">
      <c r="A27" s="18" t="s">
        <v>16</v>
      </c>
      <c r="B27" s="717" t="s">
        <v>203</v>
      </c>
      <c r="C27" s="717"/>
      <c r="D27" s="717"/>
      <c r="E27" s="717"/>
      <c r="F27" s="19"/>
      <c r="G27" s="19"/>
      <c r="H27" s="19"/>
      <c r="I27" s="19"/>
      <c r="J27" s="19"/>
      <c r="K27" s="19"/>
      <c r="L27" s="19"/>
      <c r="M27" s="19"/>
      <c r="N27" s="19"/>
      <c r="O27" s="19"/>
      <c r="P27" s="19"/>
      <c r="Q27" s="19"/>
      <c r="R27" s="19"/>
      <c r="S27" s="19"/>
      <c r="T27" s="19"/>
      <c r="U27" s="19"/>
    </row>
    <row r="28" spans="1:21">
      <c r="A28" s="19"/>
      <c r="B28" s="21" t="s">
        <v>204</v>
      </c>
      <c r="C28" s="19"/>
      <c r="D28" s="19"/>
      <c r="E28" s="19"/>
      <c r="F28" s="19"/>
      <c r="G28" s="19"/>
      <c r="H28" s="19"/>
      <c r="I28" s="19"/>
      <c r="J28" s="19"/>
      <c r="K28" s="19"/>
      <c r="L28" s="19"/>
      <c r="M28" s="19"/>
      <c r="N28" s="19"/>
      <c r="O28" s="19"/>
      <c r="P28" s="19"/>
      <c r="Q28" s="19"/>
      <c r="R28" s="19"/>
      <c r="S28" s="19"/>
      <c r="T28" s="19"/>
      <c r="U28" s="19"/>
    </row>
    <row r="29" spans="1:21">
      <c r="A29" s="19" t="s">
        <v>22</v>
      </c>
      <c r="B29" s="21" t="s">
        <v>205</v>
      </c>
      <c r="C29" s="19"/>
      <c r="D29" s="19"/>
      <c r="E29" s="19"/>
      <c r="F29" s="19"/>
      <c r="G29" s="19"/>
      <c r="H29" s="19"/>
      <c r="I29" s="19"/>
      <c r="J29" s="19"/>
      <c r="K29" s="19"/>
      <c r="L29" s="19"/>
      <c r="M29" s="19"/>
      <c r="N29" s="19"/>
      <c r="O29" s="19"/>
      <c r="P29" s="19"/>
      <c r="Q29" s="19"/>
      <c r="R29" s="19"/>
      <c r="S29" s="19"/>
      <c r="T29" s="19"/>
      <c r="U29" s="19"/>
    </row>
    <row r="30" spans="1:21">
      <c r="A30" s="17"/>
    </row>
  </sheetData>
  <customSheetViews>
    <customSheetView guid="{9F606621-8853-4836-9A7E-DBA5CF152671}" state="hidden">
      <selection sqref="A1:U1"/>
      <pageMargins left="0.7" right="0.7" top="0.75" bottom="0.75" header="0.3" footer="0.3"/>
    </customSheetView>
    <customSheetView guid="{DB9039ED-C6EA-422D-9A5D-D152D95EDC67}" state="hidden">
      <selection sqref="A1:U1"/>
      <pageMargins left="0.7" right="0.7" top="0.75" bottom="0.75" header="0.3" footer="0.3"/>
    </customSheetView>
  </customSheetViews>
  <mergeCells count="41">
    <mergeCell ref="A5:A10"/>
    <mergeCell ref="B5:B10"/>
    <mergeCell ref="C5:C10"/>
    <mergeCell ref="D5:D10"/>
    <mergeCell ref="E5:E10"/>
    <mergeCell ref="U5:U10"/>
    <mergeCell ref="F6:F10"/>
    <mergeCell ref="G6:L6"/>
    <mergeCell ref="M6:M10"/>
    <mergeCell ref="N6:P6"/>
    <mergeCell ref="Q6:Q10"/>
    <mergeCell ref="R6:T6"/>
    <mergeCell ref="G7:G10"/>
    <mergeCell ref="F5:L5"/>
    <mergeCell ref="H7:L7"/>
    <mergeCell ref="H9:H10"/>
    <mergeCell ref="I9:J9"/>
    <mergeCell ref="K9:K10"/>
    <mergeCell ref="K8:L8"/>
    <mergeCell ref="B27:E27"/>
    <mergeCell ref="B13:F13"/>
    <mergeCell ref="B14:E14"/>
    <mergeCell ref="B19:H19"/>
    <mergeCell ref="B22:F22"/>
    <mergeCell ref="B25:E25"/>
    <mergeCell ref="A1:U1"/>
    <mergeCell ref="A2:U2"/>
    <mergeCell ref="A3:U3"/>
    <mergeCell ref="S4:U4"/>
    <mergeCell ref="L9:L10"/>
    <mergeCell ref="N7:O7"/>
    <mergeCell ref="P7:P10"/>
    <mergeCell ref="R7:S7"/>
    <mergeCell ref="T7:T10"/>
    <mergeCell ref="H8:J8"/>
    <mergeCell ref="N8:N10"/>
    <mergeCell ref="O8:O10"/>
    <mergeCell ref="R8:R10"/>
    <mergeCell ref="S8:S10"/>
    <mergeCell ref="M5:P5"/>
    <mergeCell ref="Q5:T5"/>
  </mergeCells>
  <pageMargins left="0.7" right="0.7" top="0.75" bottom="0.75" header="0.3" footer="0.3"/>
</worksheet>
</file>

<file path=xl/worksheets/sheet60.xml><?xml version="1.0" encoding="utf-8"?>
<worksheet xmlns="http://schemas.openxmlformats.org/spreadsheetml/2006/main" xmlns:r="http://schemas.openxmlformats.org/officeDocument/2006/relationships">
  <sheetPr>
    <tabColor rgb="FF00B0F0"/>
  </sheetPr>
  <dimension ref="A1:Z24"/>
  <sheetViews>
    <sheetView workbookViewId="0"/>
  </sheetViews>
  <sheetFormatPr defaultRowHeight="15"/>
  <cols>
    <col min="1" max="1" width="6.28515625" customWidth="1"/>
    <col min="2" max="2" width="22.5703125" customWidth="1"/>
  </cols>
  <sheetData>
    <row r="1" spans="1:26" ht="15.75">
      <c r="Z1" s="26" t="s">
        <v>737</v>
      </c>
    </row>
    <row r="2" spans="1:26" ht="15.75">
      <c r="A2" s="781" t="s">
        <v>738</v>
      </c>
      <c r="B2" s="781"/>
      <c r="C2" s="781"/>
      <c r="D2" s="781"/>
      <c r="E2" s="781"/>
      <c r="F2" s="781"/>
      <c r="G2" s="781"/>
      <c r="H2" s="781"/>
      <c r="I2" s="781"/>
      <c r="J2" s="781"/>
      <c r="K2" s="781"/>
      <c r="L2" s="781"/>
      <c r="M2" s="781"/>
      <c r="N2" s="781"/>
      <c r="O2" s="781"/>
      <c r="P2" s="781"/>
      <c r="Q2" s="781"/>
      <c r="R2" s="781"/>
      <c r="S2" s="781"/>
      <c r="T2" s="781"/>
      <c r="U2" s="781"/>
      <c r="V2" s="781"/>
      <c r="W2" s="781"/>
      <c r="X2" s="781"/>
      <c r="Y2" s="781"/>
      <c r="Z2" s="781"/>
    </row>
    <row r="3" spans="1:26" ht="15.75">
      <c r="A3" s="781" t="s">
        <v>458</v>
      </c>
      <c r="B3" s="781"/>
      <c r="C3" s="781"/>
      <c r="D3" s="781"/>
      <c r="E3" s="781"/>
      <c r="F3" s="781"/>
      <c r="G3" s="781"/>
      <c r="H3" s="781"/>
      <c r="I3" s="781"/>
      <c r="J3" s="781"/>
      <c r="K3" s="781"/>
      <c r="L3" s="781"/>
      <c r="M3" s="781"/>
      <c r="N3" s="781"/>
      <c r="O3" s="781"/>
      <c r="P3" s="781"/>
      <c r="Q3" s="781"/>
      <c r="R3" s="781"/>
      <c r="S3" s="781"/>
      <c r="T3" s="781"/>
      <c r="U3" s="781"/>
      <c r="V3" s="781"/>
      <c r="W3" s="781"/>
      <c r="X3" s="781"/>
      <c r="Y3" s="781"/>
      <c r="Z3" s="781"/>
    </row>
    <row r="4" spans="1:26" ht="15.75">
      <c r="Z4" s="27" t="s">
        <v>56</v>
      </c>
    </row>
    <row r="5" spans="1:26" ht="15.75">
      <c r="A5" s="773" t="s">
        <v>3</v>
      </c>
      <c r="B5" s="773" t="s">
        <v>467</v>
      </c>
      <c r="C5" s="773" t="s">
        <v>582</v>
      </c>
      <c r="D5" s="773"/>
      <c r="E5" s="773"/>
      <c r="F5" s="773"/>
      <c r="G5" s="773"/>
      <c r="H5" s="773"/>
      <c r="I5" s="773"/>
      <c r="J5" s="773"/>
      <c r="K5" s="773" t="s">
        <v>661</v>
      </c>
      <c r="L5" s="773"/>
      <c r="M5" s="773"/>
      <c r="N5" s="773"/>
      <c r="O5" s="773"/>
      <c r="P5" s="773"/>
      <c r="Q5" s="773"/>
      <c r="R5" s="773"/>
      <c r="S5" s="773" t="s">
        <v>739</v>
      </c>
      <c r="T5" s="773"/>
      <c r="U5" s="773"/>
      <c r="V5" s="773"/>
      <c r="W5" s="773"/>
      <c r="X5" s="773"/>
      <c r="Y5" s="773"/>
      <c r="Z5" s="773"/>
    </row>
    <row r="6" spans="1:26" ht="21" customHeight="1">
      <c r="A6" s="773"/>
      <c r="B6" s="773"/>
      <c r="C6" s="773" t="s">
        <v>130</v>
      </c>
      <c r="D6" s="773" t="s">
        <v>669</v>
      </c>
      <c r="E6" s="773" t="s">
        <v>670</v>
      </c>
      <c r="F6" s="773"/>
      <c r="G6" s="773"/>
      <c r="H6" s="773"/>
      <c r="I6" s="773"/>
      <c r="J6" s="773"/>
      <c r="K6" s="773" t="s">
        <v>130</v>
      </c>
      <c r="L6" s="773" t="s">
        <v>669</v>
      </c>
      <c r="M6" s="773" t="s">
        <v>670</v>
      </c>
      <c r="N6" s="773"/>
      <c r="O6" s="773"/>
      <c r="P6" s="773"/>
      <c r="Q6" s="773"/>
      <c r="R6" s="773"/>
      <c r="S6" s="773" t="s">
        <v>130</v>
      </c>
      <c r="T6" s="773" t="s">
        <v>669</v>
      </c>
      <c r="U6" s="773" t="s">
        <v>670</v>
      </c>
      <c r="V6" s="773"/>
      <c r="W6" s="773"/>
      <c r="X6" s="773"/>
      <c r="Y6" s="773"/>
      <c r="Z6" s="773"/>
    </row>
    <row r="7" spans="1:26" ht="24.75" customHeight="1">
      <c r="A7" s="773"/>
      <c r="B7" s="773"/>
      <c r="C7" s="773"/>
      <c r="D7" s="773"/>
      <c r="E7" s="773" t="s">
        <v>130</v>
      </c>
      <c r="F7" s="773" t="s">
        <v>740</v>
      </c>
      <c r="G7" s="773"/>
      <c r="H7" s="773" t="s">
        <v>741</v>
      </c>
      <c r="I7" s="773" t="s">
        <v>742</v>
      </c>
      <c r="J7" s="773" t="s">
        <v>743</v>
      </c>
      <c r="K7" s="773"/>
      <c r="L7" s="773"/>
      <c r="M7" s="773" t="s">
        <v>130</v>
      </c>
      <c r="N7" s="773" t="s">
        <v>740</v>
      </c>
      <c r="O7" s="773"/>
      <c r="P7" s="773" t="s">
        <v>741</v>
      </c>
      <c r="Q7" s="773" t="s">
        <v>742</v>
      </c>
      <c r="R7" s="773" t="s">
        <v>743</v>
      </c>
      <c r="S7" s="773"/>
      <c r="T7" s="773"/>
      <c r="U7" s="773" t="s">
        <v>130</v>
      </c>
      <c r="V7" s="773" t="s">
        <v>740</v>
      </c>
      <c r="W7" s="773"/>
      <c r="X7" s="773" t="s">
        <v>741</v>
      </c>
      <c r="Y7" s="773" t="s">
        <v>742</v>
      </c>
      <c r="Z7" s="773" t="s">
        <v>743</v>
      </c>
    </row>
    <row r="8" spans="1:26" ht="107.25" customHeight="1">
      <c r="A8" s="773"/>
      <c r="B8" s="773"/>
      <c r="C8" s="773"/>
      <c r="D8" s="773"/>
      <c r="E8" s="773"/>
      <c r="F8" s="30" t="s">
        <v>611</v>
      </c>
      <c r="G8" s="30" t="s">
        <v>135</v>
      </c>
      <c r="H8" s="773"/>
      <c r="I8" s="773"/>
      <c r="J8" s="773"/>
      <c r="K8" s="773"/>
      <c r="L8" s="773"/>
      <c r="M8" s="773"/>
      <c r="N8" s="30" t="s">
        <v>611</v>
      </c>
      <c r="O8" s="30" t="s">
        <v>135</v>
      </c>
      <c r="P8" s="773"/>
      <c r="Q8" s="773"/>
      <c r="R8" s="773"/>
      <c r="S8" s="773"/>
      <c r="T8" s="773"/>
      <c r="U8" s="773"/>
      <c r="V8" s="30" t="s">
        <v>611</v>
      </c>
      <c r="W8" s="30" t="s">
        <v>135</v>
      </c>
      <c r="X8" s="773"/>
      <c r="Y8" s="773"/>
      <c r="Z8" s="773"/>
    </row>
    <row r="9" spans="1:26" s="41" customFormat="1" ht="12.75">
      <c r="A9" s="40" t="s">
        <v>15</v>
      </c>
      <c r="B9" s="40" t="s">
        <v>16</v>
      </c>
      <c r="C9" s="40">
        <v>1</v>
      </c>
      <c r="D9" s="40">
        <v>2</v>
      </c>
      <c r="E9" s="40" t="s">
        <v>744</v>
      </c>
      <c r="F9" s="40">
        <v>4</v>
      </c>
      <c r="G9" s="40">
        <v>5</v>
      </c>
      <c r="H9" s="40">
        <v>6</v>
      </c>
      <c r="I9" s="40">
        <v>7</v>
      </c>
      <c r="J9" s="40">
        <v>8</v>
      </c>
      <c r="K9" s="40">
        <v>9</v>
      </c>
      <c r="L9" s="40">
        <v>10</v>
      </c>
      <c r="M9" s="40" t="s">
        <v>745</v>
      </c>
      <c r="N9" s="40">
        <v>12</v>
      </c>
      <c r="O9" s="40">
        <v>13</v>
      </c>
      <c r="P9" s="40">
        <v>14</v>
      </c>
      <c r="Q9" s="40">
        <v>15</v>
      </c>
      <c r="R9" s="40">
        <v>16</v>
      </c>
      <c r="S9" s="40" t="s">
        <v>746</v>
      </c>
      <c r="T9" s="40" t="s">
        <v>747</v>
      </c>
      <c r="U9" s="40" t="s">
        <v>748</v>
      </c>
      <c r="V9" s="40" t="s">
        <v>749</v>
      </c>
      <c r="W9" s="40" t="s">
        <v>750</v>
      </c>
      <c r="X9" s="40" t="s">
        <v>751</v>
      </c>
      <c r="Y9" s="40" t="s">
        <v>752</v>
      </c>
      <c r="Z9" s="40" t="s">
        <v>753</v>
      </c>
    </row>
    <row r="10" spans="1:26" ht="15.75">
      <c r="A10" s="32"/>
      <c r="B10" s="31" t="s">
        <v>133</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5.75">
      <c r="A11" s="29">
        <v>1</v>
      </c>
      <c r="B11" s="32" t="s">
        <v>169</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5.75">
      <c r="A12" s="29">
        <v>2</v>
      </c>
      <c r="B12" s="32" t="s">
        <v>170</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5.75">
      <c r="A13" s="29">
        <v>3</v>
      </c>
      <c r="B13" s="32" t="s">
        <v>540</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5.75">
      <c r="A14" s="29">
        <v>4</v>
      </c>
      <c r="B14" s="32" t="s">
        <v>172</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5.75">
      <c r="A15" s="29">
        <v>5</v>
      </c>
      <c r="B15" s="32" t="s">
        <v>198</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5.75">
      <c r="A16" s="29">
        <v>6</v>
      </c>
      <c r="B16" s="32" t="s">
        <v>174</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5.75">
      <c r="A17" s="29">
        <v>7</v>
      </c>
      <c r="B17" s="32" t="s">
        <v>175</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5.75">
      <c r="A18" s="29">
        <v>8</v>
      </c>
      <c r="B18" s="32" t="s">
        <v>542</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5.75">
      <c r="A19" s="29">
        <v>9</v>
      </c>
      <c r="B19" s="32" t="s">
        <v>198</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5.75">
      <c r="A20" s="29">
        <v>10</v>
      </c>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5.75">
      <c r="A21" s="29">
        <v>11</v>
      </c>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5.75">
      <c r="A22" s="29">
        <v>12</v>
      </c>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5.75">
      <c r="A23" s="29">
        <v>13</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5.75">
      <c r="A24" s="35" t="s">
        <v>754</v>
      </c>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31">
    <mergeCell ref="A2:Z2"/>
    <mergeCell ref="A3:Z3"/>
    <mergeCell ref="N7:O7"/>
    <mergeCell ref="P7:P8"/>
    <mergeCell ref="Q7:Q8"/>
    <mergeCell ref="R7:R8"/>
    <mergeCell ref="U7:U8"/>
    <mergeCell ref="V7:W7"/>
    <mergeCell ref="M6:R6"/>
    <mergeCell ref="S6:S8"/>
    <mergeCell ref="T6:T8"/>
    <mergeCell ref="U6:Z6"/>
    <mergeCell ref="E7:E8"/>
    <mergeCell ref="A5:A8"/>
    <mergeCell ref="B5:B8"/>
    <mergeCell ref="C5:J5"/>
    <mergeCell ref="K5:R5"/>
    <mergeCell ref="S5:Z5"/>
    <mergeCell ref="C6:C8"/>
    <mergeCell ref="D6:D8"/>
    <mergeCell ref="E6:J6"/>
    <mergeCell ref="K6:K8"/>
    <mergeCell ref="L6:L8"/>
    <mergeCell ref="F7:G7"/>
    <mergeCell ref="H7:H8"/>
    <mergeCell ref="I7:I8"/>
    <mergeCell ref="J7:J8"/>
    <mergeCell ref="M7:M8"/>
    <mergeCell ref="X7:X8"/>
    <mergeCell ref="Y7:Y8"/>
    <mergeCell ref="Z7:Z8"/>
  </mergeCells>
  <pageMargins left="0.7" right="0.7" top="0.75" bottom="0.75" header="0.3" footer="0.3"/>
</worksheet>
</file>

<file path=xl/worksheets/sheet61.xml><?xml version="1.0" encoding="utf-8"?>
<worksheet xmlns="http://schemas.openxmlformats.org/spreadsheetml/2006/main" xmlns:r="http://schemas.openxmlformats.org/officeDocument/2006/relationships">
  <sheetPr>
    <tabColor rgb="FF00B0F0"/>
  </sheetPr>
  <dimension ref="A1:H24"/>
  <sheetViews>
    <sheetView workbookViewId="0"/>
  </sheetViews>
  <sheetFormatPr defaultRowHeight="15"/>
  <cols>
    <col min="1" max="1" width="6.28515625" customWidth="1"/>
    <col min="2" max="2" width="25.5703125" customWidth="1"/>
    <col min="3" max="8" width="10" customWidth="1"/>
  </cols>
  <sheetData>
    <row r="1" spans="1:8" ht="15.75">
      <c r="H1" s="26" t="s">
        <v>755</v>
      </c>
    </row>
    <row r="2" spans="1:8" ht="15.75">
      <c r="A2" s="781" t="s">
        <v>756</v>
      </c>
      <c r="B2" s="781"/>
      <c r="C2" s="781"/>
      <c r="D2" s="781"/>
      <c r="E2" s="781"/>
      <c r="F2" s="781"/>
      <c r="G2" s="781"/>
      <c r="H2" s="781"/>
    </row>
    <row r="3" spans="1:8" ht="15.75">
      <c r="A3" s="781" t="s">
        <v>458</v>
      </c>
      <c r="B3" s="781"/>
      <c r="C3" s="781"/>
      <c r="D3" s="781"/>
      <c r="E3" s="781"/>
      <c r="F3" s="781"/>
      <c r="G3" s="781"/>
      <c r="H3" s="781"/>
    </row>
    <row r="4" spans="1:8" ht="15.75">
      <c r="H4" s="27" t="s">
        <v>56</v>
      </c>
    </row>
    <row r="5" spans="1:8" ht="15.75">
      <c r="A5" s="773" t="s">
        <v>3</v>
      </c>
      <c r="B5" s="773" t="s">
        <v>161</v>
      </c>
      <c r="C5" s="773" t="s">
        <v>757</v>
      </c>
      <c r="D5" s="773" t="s">
        <v>162</v>
      </c>
      <c r="E5" s="773"/>
      <c r="F5" s="773"/>
      <c r="G5" s="773"/>
      <c r="H5" s="773"/>
    </row>
    <row r="6" spans="1:8" ht="110.25">
      <c r="A6" s="773"/>
      <c r="B6" s="773"/>
      <c r="C6" s="773"/>
      <c r="D6" s="30" t="s">
        <v>758</v>
      </c>
      <c r="E6" s="30" t="s">
        <v>624</v>
      </c>
      <c r="F6" s="30" t="s">
        <v>625</v>
      </c>
      <c r="G6" s="30" t="s">
        <v>237</v>
      </c>
      <c r="H6" s="30" t="s">
        <v>759</v>
      </c>
    </row>
    <row r="7" spans="1:8" ht="15.75">
      <c r="A7" s="30" t="s">
        <v>15</v>
      </c>
      <c r="B7" s="30" t="s">
        <v>16</v>
      </c>
      <c r="C7" s="30">
        <v>1</v>
      </c>
      <c r="D7" s="30">
        <v>2</v>
      </c>
      <c r="E7" s="30">
        <v>3</v>
      </c>
      <c r="F7" s="30">
        <v>4</v>
      </c>
      <c r="G7" s="30">
        <v>5</v>
      </c>
      <c r="H7" s="30">
        <v>6</v>
      </c>
    </row>
    <row r="8" spans="1:8" ht="15.75">
      <c r="A8" s="30"/>
      <c r="B8" s="31" t="s">
        <v>133</v>
      </c>
      <c r="C8" s="30"/>
      <c r="D8" s="30"/>
      <c r="E8" s="30"/>
      <c r="F8" s="30"/>
      <c r="G8" s="30"/>
      <c r="H8" s="30"/>
    </row>
    <row r="9" spans="1:8" ht="15.75">
      <c r="A9" s="29">
        <v>1</v>
      </c>
      <c r="B9" s="32" t="s">
        <v>169</v>
      </c>
      <c r="C9" s="29"/>
      <c r="D9" s="29"/>
      <c r="E9" s="29"/>
      <c r="F9" s="29"/>
      <c r="G9" s="29"/>
      <c r="H9" s="29"/>
    </row>
    <row r="10" spans="1:8" ht="15.75">
      <c r="A10" s="29">
        <v>2</v>
      </c>
      <c r="B10" s="32" t="s">
        <v>170</v>
      </c>
      <c r="C10" s="29"/>
      <c r="D10" s="29"/>
      <c r="E10" s="29"/>
      <c r="F10" s="29"/>
      <c r="G10" s="29"/>
      <c r="H10" s="29"/>
    </row>
    <row r="11" spans="1:8" ht="15.75">
      <c r="A11" s="29">
        <v>3</v>
      </c>
      <c r="B11" s="32" t="s">
        <v>540</v>
      </c>
      <c r="C11" s="29"/>
      <c r="D11" s="29"/>
      <c r="E11" s="29"/>
      <c r="F11" s="29"/>
      <c r="G11" s="29"/>
      <c r="H11" s="29"/>
    </row>
    <row r="12" spans="1:8" ht="15.75">
      <c r="A12" s="29">
        <v>4</v>
      </c>
      <c r="B12" s="32" t="s">
        <v>172</v>
      </c>
      <c r="C12" s="29"/>
      <c r="D12" s="29"/>
      <c r="E12" s="29"/>
      <c r="F12" s="29"/>
      <c r="G12" s="29"/>
      <c r="H12" s="29"/>
    </row>
    <row r="13" spans="1:8" ht="15.75">
      <c r="A13" s="29">
        <v>5</v>
      </c>
      <c r="B13" s="32" t="s">
        <v>525</v>
      </c>
      <c r="C13" s="29"/>
      <c r="D13" s="29"/>
      <c r="E13" s="29"/>
      <c r="F13" s="29"/>
      <c r="G13" s="29"/>
      <c r="H13" s="29"/>
    </row>
    <row r="14" spans="1:8" ht="15.75">
      <c r="A14" s="29">
        <v>6</v>
      </c>
      <c r="B14" s="32" t="s">
        <v>174</v>
      </c>
      <c r="C14" s="29"/>
      <c r="D14" s="29"/>
      <c r="E14" s="29"/>
      <c r="F14" s="29"/>
      <c r="G14" s="29"/>
      <c r="H14" s="29"/>
    </row>
    <row r="15" spans="1:8" ht="15.75">
      <c r="A15" s="29">
        <v>7</v>
      </c>
      <c r="B15" s="32" t="s">
        <v>175</v>
      </c>
      <c r="C15" s="29"/>
      <c r="D15" s="29"/>
      <c r="E15" s="29"/>
      <c r="F15" s="29"/>
      <c r="G15" s="29"/>
      <c r="H15" s="29"/>
    </row>
    <row r="16" spans="1:8" ht="15.75">
      <c r="A16" s="29">
        <v>8</v>
      </c>
      <c r="B16" s="32" t="s">
        <v>542</v>
      </c>
      <c r="C16" s="29"/>
      <c r="D16" s="29"/>
      <c r="E16" s="29"/>
      <c r="F16" s="29"/>
      <c r="G16" s="29"/>
      <c r="H16" s="29"/>
    </row>
    <row r="17" spans="1:8" ht="15.75">
      <c r="A17" s="29">
        <v>9</v>
      </c>
      <c r="B17" s="32" t="s">
        <v>51</v>
      </c>
      <c r="C17" s="29"/>
      <c r="D17" s="29"/>
      <c r="E17" s="29"/>
      <c r="F17" s="29"/>
      <c r="G17" s="29"/>
      <c r="H17" s="29"/>
    </row>
    <row r="18" spans="1:8" ht="15.75">
      <c r="A18" s="29">
        <v>10</v>
      </c>
      <c r="B18" s="32"/>
      <c r="C18" s="29"/>
      <c r="D18" s="29"/>
      <c r="E18" s="29"/>
      <c r="F18" s="29"/>
      <c r="G18" s="29"/>
      <c r="H18" s="29"/>
    </row>
    <row r="19" spans="1:8" ht="15.75">
      <c r="A19" s="29">
        <v>11</v>
      </c>
      <c r="B19" s="32"/>
      <c r="C19" s="29"/>
      <c r="D19" s="29"/>
      <c r="E19" s="29"/>
      <c r="F19" s="29"/>
      <c r="G19" s="29"/>
      <c r="H19" s="29"/>
    </row>
    <row r="20" spans="1:8" ht="15.75">
      <c r="A20" s="29">
        <v>12</v>
      </c>
      <c r="B20" s="32"/>
      <c r="C20" s="29"/>
      <c r="D20" s="29"/>
      <c r="E20" s="29"/>
      <c r="F20" s="29"/>
      <c r="G20" s="29"/>
      <c r="H20" s="29"/>
    </row>
    <row r="21" spans="1:8" ht="15.75">
      <c r="A21" s="29">
        <v>13</v>
      </c>
      <c r="B21" s="32"/>
      <c r="C21" s="29"/>
      <c r="D21" s="29"/>
      <c r="E21" s="29"/>
      <c r="F21" s="29"/>
      <c r="G21" s="29"/>
      <c r="H21" s="29"/>
    </row>
    <row r="22" spans="1:8" ht="15.75">
      <c r="A22" s="29">
        <v>14</v>
      </c>
      <c r="B22" s="32"/>
      <c r="C22" s="29"/>
      <c r="D22" s="29"/>
      <c r="E22" s="29"/>
      <c r="F22" s="29"/>
      <c r="G22" s="29"/>
      <c r="H22" s="29"/>
    </row>
    <row r="23" spans="1:8" ht="15.75">
      <c r="A23" s="29">
        <v>15</v>
      </c>
      <c r="B23" s="32"/>
      <c r="C23" s="29"/>
      <c r="D23" s="29"/>
      <c r="E23" s="29"/>
      <c r="F23" s="29"/>
      <c r="G23" s="29"/>
      <c r="H23" s="29"/>
    </row>
    <row r="24" spans="1:8" ht="15.75">
      <c r="A24" s="29">
        <v>16</v>
      </c>
      <c r="B24" s="32"/>
      <c r="C24" s="29"/>
      <c r="D24" s="29"/>
      <c r="E24" s="29"/>
      <c r="F24" s="29"/>
      <c r="G24" s="29"/>
      <c r="H24" s="29"/>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6">
    <mergeCell ref="A5:A6"/>
    <mergeCell ref="B5:B6"/>
    <mergeCell ref="C5:C6"/>
    <mergeCell ref="D5:H5"/>
    <mergeCell ref="A2:H2"/>
    <mergeCell ref="A3:H3"/>
  </mergeCells>
  <pageMargins left="0.7" right="0.7" top="0.75" bottom="0.75" header="0.3" footer="0.3"/>
</worksheet>
</file>

<file path=xl/worksheets/sheet62.xml><?xml version="1.0" encoding="utf-8"?>
<worksheet xmlns="http://schemas.openxmlformats.org/spreadsheetml/2006/main" xmlns:r="http://schemas.openxmlformats.org/officeDocument/2006/relationships">
  <sheetPr>
    <tabColor rgb="FF00B0F0"/>
  </sheetPr>
  <dimension ref="A1:U27"/>
  <sheetViews>
    <sheetView workbookViewId="0"/>
  </sheetViews>
  <sheetFormatPr defaultRowHeight="15"/>
  <cols>
    <col min="1" max="1" width="6.28515625" customWidth="1"/>
    <col min="2" max="2" width="32.42578125" customWidth="1"/>
  </cols>
  <sheetData>
    <row r="1" spans="1:21" ht="15.75">
      <c r="U1" s="26" t="s">
        <v>760</v>
      </c>
    </row>
    <row r="2" spans="1:21" ht="15.75">
      <c r="A2" s="781" t="s">
        <v>761</v>
      </c>
      <c r="B2" s="781"/>
      <c r="C2" s="781"/>
      <c r="D2" s="781"/>
      <c r="E2" s="781"/>
      <c r="F2" s="781"/>
      <c r="G2" s="781"/>
      <c r="H2" s="781"/>
      <c r="I2" s="781"/>
      <c r="J2" s="781"/>
      <c r="K2" s="781"/>
      <c r="L2" s="781"/>
      <c r="M2" s="781"/>
      <c r="N2" s="781"/>
      <c r="O2" s="781"/>
      <c r="P2" s="781"/>
      <c r="Q2" s="781"/>
      <c r="R2" s="781"/>
      <c r="S2" s="781"/>
      <c r="T2" s="781"/>
      <c r="U2" s="781"/>
    </row>
    <row r="3" spans="1:21" ht="15.75">
      <c r="A3" s="781" t="s">
        <v>126</v>
      </c>
      <c r="B3" s="781"/>
      <c r="C3" s="781"/>
      <c r="D3" s="781"/>
      <c r="E3" s="781"/>
      <c r="F3" s="781"/>
      <c r="G3" s="781"/>
      <c r="H3" s="781"/>
      <c r="I3" s="781"/>
      <c r="J3" s="781"/>
      <c r="K3" s="781"/>
      <c r="L3" s="781"/>
      <c r="M3" s="781"/>
      <c r="N3" s="781"/>
      <c r="O3" s="781"/>
      <c r="P3" s="781"/>
      <c r="Q3" s="781"/>
      <c r="R3" s="781"/>
      <c r="S3" s="781"/>
      <c r="T3" s="781"/>
      <c r="U3" s="781"/>
    </row>
    <row r="4" spans="1:21" ht="15.75">
      <c r="U4" s="27" t="s">
        <v>56</v>
      </c>
    </row>
    <row r="5" spans="1:21" ht="15.75">
      <c r="A5" s="773" t="s">
        <v>3</v>
      </c>
      <c r="B5" s="773" t="s">
        <v>329</v>
      </c>
      <c r="C5" s="773" t="s">
        <v>582</v>
      </c>
      <c r="D5" s="773"/>
      <c r="E5" s="773"/>
      <c r="F5" s="773"/>
      <c r="G5" s="773" t="s">
        <v>661</v>
      </c>
      <c r="H5" s="773"/>
      <c r="I5" s="773"/>
      <c r="J5" s="773"/>
      <c r="K5" s="773"/>
      <c r="L5" s="773"/>
      <c r="M5" s="773"/>
      <c r="N5" s="773"/>
      <c r="O5" s="773"/>
      <c r="P5" s="773"/>
      <c r="Q5" s="773"/>
      <c r="R5" s="773" t="s">
        <v>346</v>
      </c>
      <c r="S5" s="773"/>
      <c r="T5" s="773"/>
      <c r="U5" s="773"/>
    </row>
    <row r="6" spans="1:21" ht="15.75">
      <c r="A6" s="773"/>
      <c r="B6" s="773"/>
      <c r="C6" s="773" t="s">
        <v>130</v>
      </c>
      <c r="D6" s="773" t="s">
        <v>162</v>
      </c>
      <c r="E6" s="773"/>
      <c r="F6" s="773" t="s">
        <v>150</v>
      </c>
      <c r="G6" s="773" t="s">
        <v>130</v>
      </c>
      <c r="H6" s="773" t="s">
        <v>162</v>
      </c>
      <c r="I6" s="773"/>
      <c r="J6" s="773" t="s">
        <v>762</v>
      </c>
      <c r="K6" s="773"/>
      <c r="L6" s="773"/>
      <c r="M6" s="773"/>
      <c r="N6" s="773"/>
      <c r="O6" s="773"/>
      <c r="P6" s="773"/>
      <c r="Q6" s="773" t="s">
        <v>150</v>
      </c>
      <c r="R6" s="773" t="s">
        <v>130</v>
      </c>
      <c r="S6" s="773" t="s">
        <v>162</v>
      </c>
      <c r="T6" s="773"/>
      <c r="U6" s="773" t="s">
        <v>150</v>
      </c>
    </row>
    <row r="7" spans="1:21" ht="15.75">
      <c r="A7" s="773"/>
      <c r="B7" s="773"/>
      <c r="C7" s="773"/>
      <c r="D7" s="773" t="s">
        <v>609</v>
      </c>
      <c r="E7" s="773" t="s">
        <v>610</v>
      </c>
      <c r="F7" s="773"/>
      <c r="G7" s="773"/>
      <c r="H7" s="773" t="s">
        <v>609</v>
      </c>
      <c r="I7" s="773" t="s">
        <v>610</v>
      </c>
      <c r="J7" s="773" t="s">
        <v>130</v>
      </c>
      <c r="K7" s="773" t="s">
        <v>340</v>
      </c>
      <c r="L7" s="773"/>
      <c r="M7" s="773"/>
      <c r="N7" s="773" t="s">
        <v>610</v>
      </c>
      <c r="O7" s="773"/>
      <c r="P7" s="773"/>
      <c r="Q7" s="773"/>
      <c r="R7" s="773"/>
      <c r="S7" s="773" t="s">
        <v>340</v>
      </c>
      <c r="T7" s="773" t="s">
        <v>96</v>
      </c>
      <c r="U7" s="773"/>
    </row>
    <row r="8" spans="1:21" ht="15.75">
      <c r="A8" s="773"/>
      <c r="B8" s="773"/>
      <c r="C8" s="773"/>
      <c r="D8" s="773"/>
      <c r="E8" s="773"/>
      <c r="F8" s="773"/>
      <c r="G8" s="773"/>
      <c r="H8" s="773"/>
      <c r="I8" s="773"/>
      <c r="J8" s="773"/>
      <c r="K8" s="773" t="s">
        <v>130</v>
      </c>
      <c r="L8" s="773" t="s">
        <v>623</v>
      </c>
      <c r="M8" s="773"/>
      <c r="N8" s="773" t="s">
        <v>130</v>
      </c>
      <c r="O8" s="773" t="s">
        <v>623</v>
      </c>
      <c r="P8" s="773"/>
      <c r="Q8" s="773"/>
      <c r="R8" s="773"/>
      <c r="S8" s="773"/>
      <c r="T8" s="773"/>
      <c r="U8" s="773"/>
    </row>
    <row r="9" spans="1:21" ht="47.25">
      <c r="A9" s="773"/>
      <c r="B9" s="773"/>
      <c r="C9" s="773"/>
      <c r="D9" s="773"/>
      <c r="E9" s="773"/>
      <c r="F9" s="773"/>
      <c r="G9" s="773"/>
      <c r="H9" s="773"/>
      <c r="I9" s="773"/>
      <c r="J9" s="773"/>
      <c r="K9" s="773"/>
      <c r="L9" s="30" t="s">
        <v>135</v>
      </c>
      <c r="M9" s="30" t="s">
        <v>611</v>
      </c>
      <c r="N9" s="773"/>
      <c r="O9" s="30" t="s">
        <v>135</v>
      </c>
      <c r="P9" s="30" t="s">
        <v>611</v>
      </c>
      <c r="Q9" s="773"/>
      <c r="R9" s="773"/>
      <c r="S9" s="773"/>
      <c r="T9" s="773"/>
      <c r="U9" s="773"/>
    </row>
    <row r="10" spans="1:21" ht="15.75">
      <c r="A10" s="30" t="s">
        <v>15</v>
      </c>
      <c r="B10" s="30" t="s">
        <v>16</v>
      </c>
      <c r="C10" s="30">
        <v>1</v>
      </c>
      <c r="D10" s="30">
        <v>2</v>
      </c>
      <c r="E10" s="30">
        <v>3</v>
      </c>
      <c r="F10" s="30">
        <v>4</v>
      </c>
      <c r="G10" s="30">
        <v>5</v>
      </c>
      <c r="H10" s="30">
        <v>6</v>
      </c>
      <c r="I10" s="30">
        <v>7</v>
      </c>
      <c r="J10" s="30">
        <v>8</v>
      </c>
      <c r="K10" s="30">
        <v>9</v>
      </c>
      <c r="L10" s="30">
        <v>10</v>
      </c>
      <c r="M10" s="30">
        <v>11</v>
      </c>
      <c r="N10" s="30">
        <v>12</v>
      </c>
      <c r="O10" s="30">
        <v>13</v>
      </c>
      <c r="P10" s="30">
        <v>14</v>
      </c>
      <c r="Q10" s="30">
        <v>15</v>
      </c>
      <c r="R10" s="30" t="s">
        <v>763</v>
      </c>
      <c r="S10" s="30" t="s">
        <v>764</v>
      </c>
      <c r="T10" s="30" t="s">
        <v>765</v>
      </c>
      <c r="U10" s="30" t="s">
        <v>766</v>
      </c>
    </row>
    <row r="11" spans="1:21" ht="15.75">
      <c r="A11" s="30"/>
      <c r="B11" s="31" t="s">
        <v>133</v>
      </c>
      <c r="C11" s="29"/>
      <c r="D11" s="29"/>
      <c r="E11" s="29"/>
      <c r="F11" s="29"/>
      <c r="G11" s="29"/>
      <c r="H11" s="29"/>
      <c r="I11" s="29"/>
      <c r="J11" s="29"/>
      <c r="K11" s="29"/>
      <c r="L11" s="29"/>
      <c r="M11" s="29"/>
      <c r="N11" s="29"/>
      <c r="O11" s="29"/>
      <c r="P11" s="29"/>
      <c r="Q11" s="29"/>
      <c r="R11" s="29"/>
      <c r="S11" s="29"/>
      <c r="T11" s="29"/>
      <c r="U11" s="29"/>
    </row>
    <row r="12" spans="1:21" ht="15.75">
      <c r="A12" s="30" t="s">
        <v>83</v>
      </c>
      <c r="B12" s="31" t="s">
        <v>620</v>
      </c>
      <c r="C12" s="31"/>
      <c r="D12" s="31"/>
      <c r="E12" s="29"/>
      <c r="F12" s="29"/>
      <c r="G12" s="29"/>
      <c r="H12" s="29"/>
      <c r="I12" s="29"/>
      <c r="J12" s="29"/>
      <c r="K12" s="29"/>
      <c r="L12" s="29"/>
      <c r="M12" s="29"/>
      <c r="N12" s="29"/>
      <c r="O12" s="29"/>
      <c r="P12" s="29"/>
      <c r="Q12" s="29"/>
      <c r="R12" s="29"/>
      <c r="S12" s="29"/>
      <c r="T12" s="29"/>
      <c r="U12" s="29"/>
    </row>
    <row r="13" spans="1:21" ht="15.75">
      <c r="A13" s="29">
        <v>1</v>
      </c>
      <c r="B13" s="32" t="s">
        <v>166</v>
      </c>
      <c r="C13" s="29"/>
      <c r="D13" s="29"/>
      <c r="E13" s="29"/>
      <c r="F13" s="29"/>
      <c r="G13" s="29"/>
      <c r="H13" s="29"/>
      <c r="I13" s="29"/>
      <c r="J13" s="29"/>
      <c r="K13" s="29"/>
      <c r="L13" s="29"/>
      <c r="M13" s="29"/>
      <c r="N13" s="29"/>
      <c r="O13" s="29"/>
      <c r="P13" s="29"/>
      <c r="Q13" s="29"/>
      <c r="R13" s="29"/>
      <c r="S13" s="29"/>
      <c r="T13" s="29"/>
      <c r="U13" s="29"/>
    </row>
    <row r="14" spans="1:21" ht="15.75">
      <c r="A14" s="29">
        <v>2</v>
      </c>
      <c r="B14" s="32" t="s">
        <v>167</v>
      </c>
      <c r="C14" s="29"/>
      <c r="D14" s="29"/>
      <c r="E14" s="29"/>
      <c r="F14" s="29"/>
      <c r="G14" s="29"/>
      <c r="H14" s="29"/>
      <c r="I14" s="29"/>
      <c r="J14" s="29"/>
      <c r="K14" s="29"/>
      <c r="L14" s="29"/>
      <c r="M14" s="29"/>
      <c r="N14" s="29"/>
      <c r="O14" s="29"/>
      <c r="P14" s="29"/>
      <c r="Q14" s="29"/>
      <c r="R14" s="29"/>
      <c r="S14" s="29"/>
      <c r="T14" s="29"/>
      <c r="U14" s="29"/>
    </row>
    <row r="15" spans="1:21" ht="15.75">
      <c r="A15" s="29">
        <v>3</v>
      </c>
      <c r="B15" s="32" t="s">
        <v>51</v>
      </c>
      <c r="C15" s="29"/>
      <c r="D15" s="29"/>
      <c r="E15" s="29"/>
      <c r="F15" s="29"/>
      <c r="G15" s="29"/>
      <c r="H15" s="29"/>
      <c r="I15" s="29"/>
      <c r="J15" s="29"/>
      <c r="K15" s="29"/>
      <c r="L15" s="29"/>
      <c r="M15" s="29"/>
      <c r="N15" s="29"/>
      <c r="O15" s="29"/>
      <c r="P15" s="29"/>
      <c r="Q15" s="29"/>
      <c r="R15" s="29"/>
      <c r="S15" s="29"/>
      <c r="T15" s="29"/>
      <c r="U15" s="29"/>
    </row>
    <row r="16" spans="1:21" ht="15.75">
      <c r="A16" s="30" t="s">
        <v>70</v>
      </c>
      <c r="B16" s="31" t="s">
        <v>132</v>
      </c>
      <c r="C16" s="31"/>
      <c r="D16" s="31"/>
      <c r="E16" s="29"/>
      <c r="F16" s="29"/>
      <c r="G16" s="29"/>
      <c r="H16" s="29"/>
      <c r="I16" s="29"/>
      <c r="J16" s="29"/>
      <c r="K16" s="29"/>
      <c r="L16" s="29"/>
      <c r="M16" s="29"/>
      <c r="N16" s="29"/>
      <c r="O16" s="29"/>
      <c r="P16" s="29"/>
      <c r="Q16" s="29"/>
      <c r="R16" s="29"/>
      <c r="S16" s="29"/>
      <c r="T16" s="29"/>
      <c r="U16" s="29"/>
    </row>
    <row r="17" spans="1:21" ht="15.75">
      <c r="A17" s="29">
        <v>1</v>
      </c>
      <c r="B17" s="32" t="s">
        <v>169</v>
      </c>
      <c r="C17" s="29"/>
      <c r="D17" s="29"/>
      <c r="E17" s="29"/>
      <c r="F17" s="29"/>
      <c r="G17" s="29"/>
      <c r="H17" s="29"/>
      <c r="I17" s="29"/>
      <c r="J17" s="29"/>
      <c r="K17" s="29"/>
      <c r="L17" s="29"/>
      <c r="M17" s="29"/>
      <c r="N17" s="29"/>
      <c r="O17" s="29"/>
      <c r="P17" s="29"/>
      <c r="Q17" s="29"/>
      <c r="R17" s="29"/>
      <c r="S17" s="29"/>
      <c r="T17" s="29"/>
      <c r="U17" s="29"/>
    </row>
    <row r="18" spans="1:21" ht="15.75">
      <c r="A18" s="29">
        <v>2</v>
      </c>
      <c r="B18" s="32" t="s">
        <v>170</v>
      </c>
      <c r="C18" s="29"/>
      <c r="D18" s="29"/>
      <c r="E18" s="29"/>
      <c r="F18" s="29"/>
      <c r="G18" s="29"/>
      <c r="H18" s="29"/>
      <c r="I18" s="29"/>
      <c r="J18" s="29"/>
      <c r="K18" s="29"/>
      <c r="L18" s="29"/>
      <c r="M18" s="29"/>
      <c r="N18" s="29"/>
      <c r="O18" s="29"/>
      <c r="P18" s="29"/>
      <c r="Q18" s="29"/>
      <c r="R18" s="29"/>
      <c r="S18" s="29"/>
      <c r="T18" s="29"/>
      <c r="U18" s="29"/>
    </row>
    <row r="19" spans="1:21" ht="15.75">
      <c r="A19" s="29">
        <v>3</v>
      </c>
      <c r="B19" s="32" t="s">
        <v>540</v>
      </c>
      <c r="C19" s="29"/>
      <c r="D19" s="29"/>
      <c r="E19" s="29"/>
      <c r="F19" s="29"/>
      <c r="G19" s="29"/>
      <c r="H19" s="29"/>
      <c r="I19" s="29"/>
      <c r="J19" s="29"/>
      <c r="K19" s="29"/>
      <c r="L19" s="29"/>
      <c r="M19" s="29"/>
      <c r="N19" s="29"/>
      <c r="O19" s="29"/>
      <c r="P19" s="29"/>
      <c r="Q19" s="29"/>
      <c r="R19" s="29"/>
      <c r="S19" s="29"/>
      <c r="T19" s="29"/>
      <c r="U19" s="29"/>
    </row>
    <row r="20" spans="1:21" ht="15.75">
      <c r="A20" s="29">
        <v>4</v>
      </c>
      <c r="B20" s="32" t="s">
        <v>172</v>
      </c>
      <c r="C20" s="29"/>
      <c r="D20" s="29"/>
      <c r="E20" s="29"/>
      <c r="F20" s="29"/>
      <c r="G20" s="29"/>
      <c r="H20" s="29"/>
      <c r="I20" s="29"/>
      <c r="J20" s="29"/>
      <c r="K20" s="29"/>
      <c r="L20" s="29"/>
      <c r="M20" s="29"/>
      <c r="N20" s="29"/>
      <c r="O20" s="29"/>
      <c r="P20" s="29"/>
      <c r="Q20" s="29"/>
      <c r="R20" s="29"/>
      <c r="S20" s="29"/>
      <c r="T20" s="29"/>
      <c r="U20" s="29"/>
    </row>
    <row r="21" spans="1:21" ht="15.75">
      <c r="A21" s="29">
        <v>5</v>
      </c>
      <c r="B21" s="32" t="s">
        <v>621</v>
      </c>
      <c r="C21" s="29"/>
      <c r="D21" s="29"/>
      <c r="E21" s="29"/>
      <c r="F21" s="29"/>
      <c r="G21" s="29"/>
      <c r="H21" s="29"/>
      <c r="I21" s="29"/>
      <c r="J21" s="29"/>
      <c r="K21" s="29"/>
      <c r="L21" s="29"/>
      <c r="M21" s="29"/>
      <c r="N21" s="29"/>
      <c r="O21" s="29"/>
      <c r="P21" s="29"/>
      <c r="Q21" s="29"/>
      <c r="R21" s="29"/>
      <c r="S21" s="29"/>
      <c r="T21" s="29"/>
      <c r="U21" s="29"/>
    </row>
    <row r="22" spans="1:21" ht="15.75">
      <c r="A22" s="29">
        <v>6</v>
      </c>
      <c r="B22" s="32" t="s">
        <v>174</v>
      </c>
      <c r="C22" s="29"/>
      <c r="D22" s="29"/>
      <c r="E22" s="29"/>
      <c r="F22" s="29"/>
      <c r="G22" s="29"/>
      <c r="H22" s="29"/>
      <c r="I22" s="29"/>
      <c r="J22" s="29"/>
      <c r="K22" s="29"/>
      <c r="L22" s="29"/>
      <c r="M22" s="29"/>
      <c r="N22" s="29"/>
      <c r="O22" s="29"/>
      <c r="P22" s="29"/>
      <c r="Q22" s="29"/>
      <c r="R22" s="29"/>
      <c r="S22" s="29"/>
      <c r="T22" s="29"/>
      <c r="U22" s="29"/>
    </row>
    <row r="23" spans="1:21" ht="15.75">
      <c r="A23" s="29">
        <v>7</v>
      </c>
      <c r="B23" s="32" t="s">
        <v>175</v>
      </c>
      <c r="C23" s="29"/>
      <c r="D23" s="29"/>
      <c r="E23" s="29"/>
      <c r="F23" s="29"/>
      <c r="G23" s="29"/>
      <c r="H23" s="29"/>
      <c r="I23" s="29"/>
      <c r="J23" s="29"/>
      <c r="K23" s="29"/>
      <c r="L23" s="29"/>
      <c r="M23" s="29"/>
      <c r="N23" s="29"/>
      <c r="O23" s="29"/>
      <c r="P23" s="29"/>
      <c r="Q23" s="29"/>
      <c r="R23" s="29"/>
      <c r="S23" s="29"/>
      <c r="T23" s="29"/>
      <c r="U23" s="29"/>
    </row>
    <row r="24" spans="1:21" ht="15.75">
      <c r="A24" s="29">
        <v>8</v>
      </c>
      <c r="B24" s="32" t="s">
        <v>542</v>
      </c>
      <c r="C24" s="29"/>
      <c r="D24" s="29"/>
      <c r="E24" s="29"/>
      <c r="F24" s="29"/>
      <c r="G24" s="29"/>
      <c r="H24" s="29"/>
      <c r="I24" s="29"/>
      <c r="J24" s="29"/>
      <c r="K24" s="29"/>
      <c r="L24" s="29"/>
      <c r="M24" s="29"/>
      <c r="N24" s="29"/>
      <c r="O24" s="29"/>
      <c r="P24" s="29"/>
      <c r="Q24" s="29"/>
      <c r="R24" s="29"/>
      <c r="S24" s="29"/>
      <c r="T24" s="29"/>
      <c r="U24" s="29"/>
    </row>
    <row r="25" spans="1:21" ht="15.75">
      <c r="A25" s="29">
        <v>9</v>
      </c>
      <c r="B25" s="32" t="s">
        <v>201</v>
      </c>
      <c r="C25" s="29"/>
      <c r="D25" s="29"/>
      <c r="E25" s="29"/>
      <c r="F25" s="29"/>
      <c r="G25" s="29"/>
      <c r="H25" s="29"/>
      <c r="I25" s="29"/>
      <c r="J25" s="29"/>
      <c r="K25" s="29"/>
      <c r="L25" s="29"/>
      <c r="M25" s="29"/>
      <c r="N25" s="29"/>
      <c r="O25" s="29"/>
      <c r="P25" s="29"/>
      <c r="Q25" s="29"/>
      <c r="R25" s="29"/>
      <c r="S25" s="29"/>
      <c r="T25" s="29"/>
      <c r="U25" s="29"/>
    </row>
    <row r="26" spans="1:21" ht="44.25" customHeight="1">
      <c r="A26" s="821" t="s">
        <v>622</v>
      </c>
      <c r="B26" s="821"/>
      <c r="C26" s="821"/>
      <c r="D26" s="821"/>
      <c r="E26" s="821"/>
      <c r="F26" s="821"/>
      <c r="G26" s="821"/>
      <c r="H26" s="821"/>
      <c r="I26" s="821"/>
      <c r="J26" s="821"/>
      <c r="K26" s="821"/>
      <c r="L26" s="821"/>
      <c r="M26" s="821"/>
      <c r="N26" s="821"/>
      <c r="O26" s="821"/>
      <c r="P26" s="821"/>
      <c r="Q26" s="821"/>
      <c r="R26" s="821"/>
      <c r="S26" s="821"/>
      <c r="T26" s="821"/>
      <c r="U26" s="821"/>
    </row>
    <row r="27" spans="1:21" ht="15.75">
      <c r="A27" s="50"/>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31">
    <mergeCell ref="A2:U2"/>
    <mergeCell ref="A3:U3"/>
    <mergeCell ref="A26:U26"/>
    <mergeCell ref="K7:M7"/>
    <mergeCell ref="N7:P7"/>
    <mergeCell ref="S7:S9"/>
    <mergeCell ref="T7:T9"/>
    <mergeCell ref="K8:K9"/>
    <mergeCell ref="L8:M8"/>
    <mergeCell ref="N8:N9"/>
    <mergeCell ref="O8:P8"/>
    <mergeCell ref="J6:P6"/>
    <mergeCell ref="Q6:Q9"/>
    <mergeCell ref="R6:R9"/>
    <mergeCell ref="S6:T6"/>
    <mergeCell ref="U6:U9"/>
    <mergeCell ref="A5:A9"/>
    <mergeCell ref="B5:B9"/>
    <mergeCell ref="C5:F5"/>
    <mergeCell ref="G5:Q5"/>
    <mergeCell ref="R5:U5"/>
    <mergeCell ref="C6:C9"/>
    <mergeCell ref="D6:E6"/>
    <mergeCell ref="F6:F9"/>
    <mergeCell ref="G6:G9"/>
    <mergeCell ref="H6:I6"/>
    <mergeCell ref="D7:D9"/>
    <mergeCell ref="E7:E9"/>
    <mergeCell ref="H7:H9"/>
    <mergeCell ref="I7:I9"/>
    <mergeCell ref="J7:J9"/>
  </mergeCells>
  <pageMargins left="0.7" right="0.7" top="0.75" bottom="0.75" header="0.3" footer="0.3"/>
</worksheet>
</file>

<file path=xl/worksheets/sheet63.xml><?xml version="1.0" encoding="utf-8"?>
<worksheet xmlns="http://schemas.openxmlformats.org/spreadsheetml/2006/main" xmlns:r="http://schemas.openxmlformats.org/officeDocument/2006/relationships">
  <sheetPr>
    <tabColor rgb="FF00B0F0"/>
  </sheetPr>
  <dimension ref="A1:AD27"/>
  <sheetViews>
    <sheetView workbookViewId="0"/>
  </sheetViews>
  <sheetFormatPr defaultRowHeight="15"/>
  <cols>
    <col min="1" max="1" width="6.85546875" customWidth="1"/>
    <col min="2" max="2" width="33.85546875" customWidth="1"/>
  </cols>
  <sheetData>
    <row r="1" spans="1:30" ht="15.75">
      <c r="AD1" s="26" t="s">
        <v>767</v>
      </c>
    </row>
    <row r="2" spans="1:30" ht="15.75">
      <c r="A2" s="781" t="s">
        <v>768</v>
      </c>
      <c r="B2" s="781"/>
      <c r="C2" s="781"/>
      <c r="D2" s="781"/>
      <c r="E2" s="781"/>
      <c r="F2" s="781"/>
      <c r="G2" s="781"/>
      <c r="H2" s="781"/>
      <c r="I2" s="781"/>
      <c r="J2" s="781"/>
      <c r="K2" s="781"/>
      <c r="L2" s="781"/>
      <c r="M2" s="781"/>
      <c r="N2" s="781"/>
      <c r="O2" s="781"/>
      <c r="P2" s="781"/>
      <c r="Q2" s="781"/>
      <c r="R2" s="781"/>
      <c r="S2" s="781"/>
      <c r="T2" s="781"/>
      <c r="U2" s="781"/>
      <c r="V2" s="781"/>
      <c r="W2" s="781"/>
      <c r="X2" s="781"/>
      <c r="Y2" s="781"/>
      <c r="Z2" s="781"/>
      <c r="AA2" s="781"/>
      <c r="AB2" s="781"/>
      <c r="AC2" s="781"/>
      <c r="AD2" s="781"/>
    </row>
    <row r="3" spans="1:30" ht="15.75">
      <c r="A3" s="781" t="s">
        <v>126</v>
      </c>
      <c r="B3" s="781"/>
      <c r="C3" s="781"/>
      <c r="D3" s="781"/>
      <c r="E3" s="781"/>
      <c r="F3" s="781"/>
      <c r="G3" s="781"/>
      <c r="H3" s="781"/>
      <c r="I3" s="781"/>
      <c r="J3" s="781"/>
      <c r="K3" s="781"/>
      <c r="L3" s="781"/>
      <c r="M3" s="781"/>
      <c r="N3" s="781"/>
      <c r="O3" s="781"/>
      <c r="P3" s="781"/>
      <c r="Q3" s="781"/>
      <c r="R3" s="781"/>
      <c r="S3" s="781"/>
      <c r="T3" s="781"/>
      <c r="U3" s="781"/>
      <c r="V3" s="781"/>
      <c r="W3" s="781"/>
      <c r="X3" s="781"/>
      <c r="Y3" s="781"/>
      <c r="Z3" s="781"/>
      <c r="AA3" s="781"/>
      <c r="AB3" s="781"/>
      <c r="AC3" s="781"/>
      <c r="AD3" s="781"/>
    </row>
    <row r="4" spans="1:30" ht="15.75">
      <c r="AD4" s="27" t="s">
        <v>56</v>
      </c>
    </row>
    <row r="5" spans="1:30" ht="15.75">
      <c r="A5" s="773" t="s">
        <v>3</v>
      </c>
      <c r="B5" s="773" t="s">
        <v>180</v>
      </c>
      <c r="C5" s="773" t="s">
        <v>181</v>
      </c>
      <c r="D5" s="773" t="s">
        <v>182</v>
      </c>
      <c r="E5" s="773" t="s">
        <v>183</v>
      </c>
      <c r="F5" s="773" t="s">
        <v>184</v>
      </c>
      <c r="G5" s="773"/>
      <c r="H5" s="773"/>
      <c r="I5" s="773"/>
      <c r="J5" s="773"/>
      <c r="K5" s="773" t="s">
        <v>655</v>
      </c>
      <c r="L5" s="773"/>
      <c r="M5" s="773"/>
      <c r="N5" s="773"/>
      <c r="O5" s="773" t="s">
        <v>656</v>
      </c>
      <c r="P5" s="773"/>
      <c r="Q5" s="773"/>
      <c r="R5" s="773"/>
      <c r="S5" s="773" t="s">
        <v>769</v>
      </c>
      <c r="T5" s="773"/>
      <c r="U5" s="773"/>
      <c r="V5" s="773"/>
      <c r="W5" s="773" t="s">
        <v>770</v>
      </c>
      <c r="X5" s="773"/>
      <c r="Y5" s="773"/>
      <c r="Z5" s="773"/>
      <c r="AA5" s="773" t="s">
        <v>346</v>
      </c>
      <c r="AB5" s="773"/>
      <c r="AC5" s="773"/>
      <c r="AD5" s="773"/>
    </row>
    <row r="6" spans="1:30" ht="14.25" customHeight="1">
      <c r="A6" s="773"/>
      <c r="B6" s="773"/>
      <c r="C6" s="773"/>
      <c r="D6" s="773"/>
      <c r="E6" s="773"/>
      <c r="F6" s="773" t="s">
        <v>187</v>
      </c>
      <c r="G6" s="773" t="s">
        <v>657</v>
      </c>
      <c r="H6" s="773"/>
      <c r="I6" s="773"/>
      <c r="J6" s="773"/>
      <c r="K6" s="773"/>
      <c r="L6" s="773"/>
      <c r="M6" s="773"/>
      <c r="N6" s="773"/>
      <c r="O6" s="773"/>
      <c r="P6" s="773"/>
      <c r="Q6" s="773"/>
      <c r="R6" s="773"/>
      <c r="S6" s="773"/>
      <c r="T6" s="773"/>
      <c r="U6" s="773"/>
      <c r="V6" s="773"/>
      <c r="W6" s="773"/>
      <c r="X6" s="773"/>
      <c r="Y6" s="773"/>
      <c r="Z6" s="773"/>
      <c r="AA6" s="773"/>
      <c r="AB6" s="773"/>
      <c r="AC6" s="773"/>
      <c r="AD6" s="773"/>
    </row>
    <row r="7" spans="1:30" ht="21.75" customHeight="1">
      <c r="A7" s="773"/>
      <c r="B7" s="773"/>
      <c r="C7" s="773"/>
      <c r="D7" s="773"/>
      <c r="E7" s="773"/>
      <c r="F7" s="773"/>
      <c r="G7" s="773" t="s">
        <v>189</v>
      </c>
      <c r="H7" s="773" t="s">
        <v>658</v>
      </c>
      <c r="I7" s="773"/>
      <c r="J7" s="773"/>
      <c r="K7" s="773" t="s">
        <v>130</v>
      </c>
      <c r="L7" s="773" t="s">
        <v>658</v>
      </c>
      <c r="M7" s="773"/>
      <c r="N7" s="773"/>
      <c r="O7" s="773" t="s">
        <v>130</v>
      </c>
      <c r="P7" s="773" t="s">
        <v>658</v>
      </c>
      <c r="Q7" s="773"/>
      <c r="R7" s="773"/>
      <c r="S7" s="773" t="s">
        <v>130</v>
      </c>
      <c r="T7" s="773" t="s">
        <v>658</v>
      </c>
      <c r="U7" s="773"/>
      <c r="V7" s="773"/>
      <c r="W7" s="773" t="s">
        <v>130</v>
      </c>
      <c r="X7" s="773" t="s">
        <v>658</v>
      </c>
      <c r="Y7" s="773"/>
      <c r="Z7" s="773"/>
      <c r="AA7" s="773" t="s">
        <v>130</v>
      </c>
      <c r="AB7" s="773" t="s">
        <v>658</v>
      </c>
      <c r="AC7" s="773"/>
      <c r="AD7" s="773"/>
    </row>
    <row r="8" spans="1:30" ht="95.25" customHeight="1">
      <c r="A8" s="773"/>
      <c r="B8" s="773"/>
      <c r="C8" s="773"/>
      <c r="D8" s="773"/>
      <c r="E8" s="773"/>
      <c r="F8" s="773"/>
      <c r="G8" s="773"/>
      <c r="H8" s="30" t="s">
        <v>659</v>
      </c>
      <c r="I8" s="30" t="s">
        <v>217</v>
      </c>
      <c r="J8" s="30" t="s">
        <v>575</v>
      </c>
      <c r="K8" s="773"/>
      <c r="L8" s="30" t="s">
        <v>659</v>
      </c>
      <c r="M8" s="30" t="s">
        <v>217</v>
      </c>
      <c r="N8" s="30" t="s">
        <v>575</v>
      </c>
      <c r="O8" s="773"/>
      <c r="P8" s="30" t="s">
        <v>659</v>
      </c>
      <c r="Q8" s="30" t="s">
        <v>217</v>
      </c>
      <c r="R8" s="30" t="s">
        <v>575</v>
      </c>
      <c r="S8" s="773"/>
      <c r="T8" s="30" t="s">
        <v>659</v>
      </c>
      <c r="U8" s="30" t="s">
        <v>217</v>
      </c>
      <c r="V8" s="30" t="s">
        <v>575</v>
      </c>
      <c r="W8" s="773"/>
      <c r="X8" s="30" t="s">
        <v>659</v>
      </c>
      <c r="Y8" s="30" t="s">
        <v>217</v>
      </c>
      <c r="Z8" s="30" t="s">
        <v>575</v>
      </c>
      <c r="AA8" s="773"/>
      <c r="AB8" s="30" t="s">
        <v>659</v>
      </c>
      <c r="AC8" s="30" t="s">
        <v>217</v>
      </c>
      <c r="AD8" s="30" t="s">
        <v>575</v>
      </c>
    </row>
    <row r="9" spans="1:30" s="41" customFormat="1" ht="12.75">
      <c r="A9" s="40" t="s">
        <v>15</v>
      </c>
      <c r="B9" s="40" t="s">
        <v>16</v>
      </c>
      <c r="C9" s="40">
        <v>1</v>
      </c>
      <c r="D9" s="40">
        <v>2</v>
      </c>
      <c r="E9" s="40">
        <v>3</v>
      </c>
      <c r="F9" s="40">
        <v>4</v>
      </c>
      <c r="G9" s="40">
        <v>5</v>
      </c>
      <c r="H9" s="40">
        <v>6</v>
      </c>
      <c r="I9" s="40">
        <v>7</v>
      </c>
      <c r="J9" s="40">
        <v>8</v>
      </c>
      <c r="K9" s="40">
        <v>9</v>
      </c>
      <c r="L9" s="40">
        <v>10</v>
      </c>
      <c r="M9" s="40">
        <v>11</v>
      </c>
      <c r="N9" s="40">
        <v>12</v>
      </c>
      <c r="O9" s="40">
        <v>13</v>
      </c>
      <c r="P9" s="40">
        <v>14</v>
      </c>
      <c r="Q9" s="40">
        <v>15</v>
      </c>
      <c r="R9" s="40">
        <v>16</v>
      </c>
      <c r="S9" s="40">
        <v>17</v>
      </c>
      <c r="T9" s="40">
        <v>18</v>
      </c>
      <c r="U9" s="40">
        <v>19</v>
      </c>
      <c r="V9" s="40">
        <v>20</v>
      </c>
      <c r="W9" s="40">
        <v>21</v>
      </c>
      <c r="X9" s="40">
        <v>22</v>
      </c>
      <c r="Y9" s="40">
        <v>23</v>
      </c>
      <c r="Z9" s="40">
        <v>24</v>
      </c>
      <c r="AA9" s="40" t="s">
        <v>771</v>
      </c>
      <c r="AB9" s="40" t="s">
        <v>772</v>
      </c>
      <c r="AC9" s="40" t="s">
        <v>773</v>
      </c>
      <c r="AD9" s="40" t="s">
        <v>774</v>
      </c>
    </row>
    <row r="10" spans="1:30" ht="15.75">
      <c r="A10" s="31"/>
      <c r="B10" s="30" t="s">
        <v>130</v>
      </c>
      <c r="C10" s="30"/>
      <c r="D10" s="30"/>
      <c r="E10" s="30"/>
      <c r="F10" s="30"/>
      <c r="G10" s="30"/>
      <c r="H10" s="30"/>
      <c r="I10" s="30"/>
      <c r="J10" s="30"/>
      <c r="K10" s="30"/>
      <c r="L10" s="30"/>
      <c r="M10" s="30"/>
      <c r="N10" s="32"/>
      <c r="O10" s="32"/>
      <c r="P10" s="32"/>
      <c r="Q10" s="32"/>
      <c r="R10" s="32"/>
      <c r="S10" s="32"/>
      <c r="T10" s="32"/>
      <c r="U10" s="32"/>
      <c r="V10" s="32"/>
      <c r="W10" s="32"/>
      <c r="X10" s="32"/>
      <c r="Y10" s="32"/>
      <c r="Z10" s="32"/>
      <c r="AA10" s="32"/>
      <c r="AB10" s="32"/>
      <c r="AC10" s="32"/>
      <c r="AD10" s="32"/>
    </row>
    <row r="11" spans="1:30" ht="31.5">
      <c r="A11" s="30" t="s">
        <v>15</v>
      </c>
      <c r="B11" s="31" t="s">
        <v>191</v>
      </c>
      <c r="C11" s="29"/>
      <c r="D11" s="29"/>
      <c r="E11" s="29"/>
      <c r="F11" s="29"/>
      <c r="G11" s="29"/>
      <c r="H11" s="29"/>
      <c r="I11" s="29"/>
      <c r="J11" s="29"/>
      <c r="K11" s="30"/>
      <c r="L11" s="30"/>
      <c r="M11" s="30"/>
      <c r="N11" s="32"/>
      <c r="O11" s="32"/>
      <c r="P11" s="32"/>
      <c r="Q11" s="32"/>
      <c r="R11" s="32"/>
      <c r="S11" s="32"/>
      <c r="T11" s="32"/>
      <c r="U11" s="32"/>
      <c r="V11" s="32"/>
      <c r="W11" s="32"/>
      <c r="X11" s="32"/>
      <c r="Y11" s="32"/>
      <c r="Z11" s="32"/>
      <c r="AA11" s="32"/>
      <c r="AB11" s="32"/>
      <c r="AC11" s="32"/>
      <c r="AD11" s="32"/>
    </row>
    <row r="12" spans="1:30" ht="31.5">
      <c r="A12" s="30" t="s">
        <v>83</v>
      </c>
      <c r="B12" s="31" t="s">
        <v>192</v>
      </c>
      <c r="C12" s="29"/>
      <c r="D12" s="29"/>
      <c r="E12" s="29"/>
      <c r="F12" s="29"/>
      <c r="G12" s="29"/>
      <c r="H12" s="29"/>
      <c r="I12" s="29"/>
      <c r="J12" s="29"/>
      <c r="K12" s="29"/>
      <c r="L12" s="30"/>
      <c r="M12" s="30"/>
      <c r="N12" s="32"/>
      <c r="O12" s="32"/>
      <c r="P12" s="32"/>
      <c r="Q12" s="32"/>
      <c r="R12" s="32"/>
      <c r="S12" s="32"/>
      <c r="T12" s="32"/>
      <c r="U12" s="32"/>
      <c r="V12" s="32"/>
      <c r="W12" s="32"/>
      <c r="X12" s="32"/>
      <c r="Y12" s="32"/>
      <c r="Z12" s="32"/>
      <c r="AA12" s="32"/>
      <c r="AB12" s="32"/>
      <c r="AC12" s="32"/>
      <c r="AD12" s="32"/>
    </row>
    <row r="13" spans="1:30" ht="15.75">
      <c r="A13" s="30">
        <v>1</v>
      </c>
      <c r="B13" s="31" t="s">
        <v>193</v>
      </c>
      <c r="C13" s="29"/>
      <c r="D13" s="29"/>
      <c r="E13" s="29"/>
      <c r="F13" s="29"/>
      <c r="G13" s="29"/>
      <c r="H13" s="29"/>
      <c r="I13" s="29"/>
      <c r="J13" s="29"/>
      <c r="K13" s="29"/>
      <c r="L13" s="29"/>
      <c r="M13" s="29"/>
      <c r="N13" s="32"/>
      <c r="O13" s="32"/>
      <c r="P13" s="32"/>
      <c r="Q13" s="32"/>
      <c r="R13" s="32"/>
      <c r="S13" s="32"/>
      <c r="T13" s="32"/>
      <c r="U13" s="32"/>
      <c r="V13" s="32"/>
      <c r="W13" s="32"/>
      <c r="X13" s="32"/>
      <c r="Y13" s="32"/>
      <c r="Z13" s="32"/>
      <c r="AA13" s="32"/>
      <c r="AB13" s="32"/>
      <c r="AC13" s="32"/>
      <c r="AD13" s="32"/>
    </row>
    <row r="14" spans="1:30" ht="15.75">
      <c r="A14" s="29" t="s">
        <v>22</v>
      </c>
      <c r="B14" s="32" t="s">
        <v>194</v>
      </c>
      <c r="C14" s="29"/>
      <c r="D14" s="29"/>
      <c r="E14" s="29"/>
      <c r="F14" s="29"/>
      <c r="G14" s="29"/>
      <c r="H14" s="29"/>
      <c r="I14" s="29"/>
      <c r="J14" s="29"/>
      <c r="K14" s="29"/>
      <c r="L14" s="29"/>
      <c r="M14" s="29"/>
      <c r="N14" s="32"/>
      <c r="O14" s="32"/>
      <c r="P14" s="32"/>
      <c r="Q14" s="32"/>
      <c r="R14" s="32"/>
      <c r="S14" s="32"/>
      <c r="T14" s="32"/>
      <c r="U14" s="32"/>
      <c r="V14" s="32"/>
      <c r="W14" s="32"/>
      <c r="X14" s="32"/>
      <c r="Y14" s="32"/>
      <c r="Z14" s="32"/>
      <c r="AA14" s="32"/>
      <c r="AB14" s="32"/>
      <c r="AC14" s="32"/>
      <c r="AD14" s="32"/>
    </row>
    <row r="15" spans="1:30" ht="15.75">
      <c r="A15" s="29" t="s">
        <v>22</v>
      </c>
      <c r="B15" s="32" t="s">
        <v>177</v>
      </c>
      <c r="C15" s="29"/>
      <c r="D15" s="29"/>
      <c r="E15" s="29"/>
      <c r="F15" s="29"/>
      <c r="G15" s="29"/>
      <c r="H15" s="29"/>
      <c r="I15" s="29"/>
      <c r="J15" s="29"/>
      <c r="K15" s="29"/>
      <c r="L15" s="29"/>
      <c r="M15" s="29"/>
      <c r="N15" s="32"/>
      <c r="O15" s="32"/>
      <c r="P15" s="32"/>
      <c r="Q15" s="32"/>
      <c r="R15" s="32"/>
      <c r="S15" s="32"/>
      <c r="T15" s="32"/>
      <c r="U15" s="32"/>
      <c r="V15" s="32"/>
      <c r="W15" s="32"/>
      <c r="X15" s="32"/>
      <c r="Y15" s="32"/>
      <c r="Z15" s="32"/>
      <c r="AA15" s="32"/>
      <c r="AB15" s="32"/>
      <c r="AC15" s="32"/>
      <c r="AD15" s="32"/>
    </row>
    <row r="16" spans="1:30" ht="15.75">
      <c r="A16" s="30">
        <v>2</v>
      </c>
      <c r="B16" s="31" t="s">
        <v>195</v>
      </c>
      <c r="C16" s="29"/>
      <c r="D16" s="29"/>
      <c r="E16" s="29"/>
      <c r="F16" s="29"/>
      <c r="G16" s="29"/>
      <c r="H16" s="29"/>
      <c r="I16" s="29"/>
      <c r="J16" s="29"/>
      <c r="K16" s="29"/>
      <c r="L16" s="29"/>
      <c r="M16" s="29"/>
      <c r="N16" s="32"/>
      <c r="O16" s="32"/>
      <c r="P16" s="32"/>
      <c r="Q16" s="32"/>
      <c r="R16" s="32"/>
      <c r="S16" s="32"/>
      <c r="T16" s="32"/>
      <c r="U16" s="32"/>
      <c r="V16" s="32"/>
      <c r="W16" s="32"/>
      <c r="X16" s="32"/>
      <c r="Y16" s="32"/>
      <c r="Z16" s="32"/>
      <c r="AA16" s="32"/>
      <c r="AB16" s="32"/>
      <c r="AC16" s="32"/>
      <c r="AD16" s="32"/>
    </row>
    <row r="17" spans="1:30" ht="31.5">
      <c r="A17" s="30" t="s">
        <v>144</v>
      </c>
      <c r="B17" s="31" t="s">
        <v>196</v>
      </c>
      <c r="C17" s="29"/>
      <c r="D17" s="29"/>
      <c r="E17" s="29"/>
      <c r="F17" s="29"/>
      <c r="G17" s="29"/>
      <c r="H17" s="29"/>
      <c r="I17" s="29"/>
      <c r="J17" s="29"/>
      <c r="K17" s="29"/>
      <c r="L17" s="29"/>
      <c r="M17" s="29"/>
      <c r="N17" s="32"/>
      <c r="O17" s="32"/>
      <c r="P17" s="32"/>
      <c r="Q17" s="32"/>
      <c r="R17" s="32"/>
      <c r="S17" s="32"/>
      <c r="T17" s="32"/>
      <c r="U17" s="32"/>
      <c r="V17" s="32"/>
      <c r="W17" s="32"/>
      <c r="X17" s="32"/>
      <c r="Y17" s="32"/>
      <c r="Z17" s="32"/>
      <c r="AA17" s="32"/>
      <c r="AB17" s="32"/>
      <c r="AC17" s="32"/>
      <c r="AD17" s="32"/>
    </row>
    <row r="18" spans="1:30" ht="15.75">
      <c r="A18" s="29" t="s">
        <v>22</v>
      </c>
      <c r="B18" s="32" t="s">
        <v>197</v>
      </c>
      <c r="C18" s="29"/>
      <c r="D18" s="29"/>
      <c r="E18" s="29"/>
      <c r="F18" s="29"/>
      <c r="G18" s="29"/>
      <c r="H18" s="29"/>
      <c r="I18" s="29"/>
      <c r="J18" s="29"/>
      <c r="K18" s="29"/>
      <c r="L18" s="29"/>
      <c r="M18" s="29"/>
      <c r="N18" s="32"/>
      <c r="O18" s="32"/>
      <c r="P18" s="32"/>
      <c r="Q18" s="32"/>
      <c r="R18" s="32"/>
      <c r="S18" s="32"/>
      <c r="T18" s="32"/>
      <c r="U18" s="32"/>
      <c r="V18" s="32"/>
      <c r="W18" s="32"/>
      <c r="X18" s="32"/>
      <c r="Y18" s="32"/>
      <c r="Z18" s="32"/>
      <c r="AA18" s="32"/>
      <c r="AB18" s="32"/>
      <c r="AC18" s="32"/>
      <c r="AD18" s="32"/>
    </row>
    <row r="19" spans="1:30" ht="15.75">
      <c r="A19" s="29" t="s">
        <v>22</v>
      </c>
      <c r="B19" s="32" t="s">
        <v>198</v>
      </c>
      <c r="C19" s="29"/>
      <c r="D19" s="29"/>
      <c r="E19" s="29"/>
      <c r="F19" s="29"/>
      <c r="G19" s="29"/>
      <c r="H19" s="29"/>
      <c r="I19" s="29"/>
      <c r="J19" s="29"/>
      <c r="K19" s="29"/>
      <c r="L19" s="29"/>
      <c r="M19" s="29"/>
      <c r="N19" s="32"/>
      <c r="O19" s="32"/>
      <c r="P19" s="32"/>
      <c r="Q19" s="32"/>
      <c r="R19" s="32"/>
      <c r="S19" s="32"/>
      <c r="T19" s="32"/>
      <c r="U19" s="32"/>
      <c r="V19" s="32"/>
      <c r="W19" s="32"/>
      <c r="X19" s="32"/>
      <c r="Y19" s="32"/>
      <c r="Z19" s="32"/>
      <c r="AA19" s="32"/>
      <c r="AB19" s="32"/>
      <c r="AC19" s="32"/>
      <c r="AD19" s="32"/>
    </row>
    <row r="20" spans="1:30" ht="31.5">
      <c r="A20" s="30" t="s">
        <v>146</v>
      </c>
      <c r="B20" s="31" t="s">
        <v>199</v>
      </c>
      <c r="C20" s="29"/>
      <c r="D20" s="29"/>
      <c r="E20" s="29"/>
      <c r="F20" s="29"/>
      <c r="G20" s="29"/>
      <c r="H20" s="29"/>
      <c r="I20" s="29"/>
      <c r="J20" s="29"/>
      <c r="K20" s="29"/>
      <c r="L20" s="29"/>
      <c r="M20" s="29"/>
      <c r="N20" s="32"/>
      <c r="O20" s="32"/>
      <c r="P20" s="32"/>
      <c r="Q20" s="32"/>
      <c r="R20" s="32"/>
      <c r="S20" s="32"/>
      <c r="T20" s="32"/>
      <c r="U20" s="32"/>
      <c r="V20" s="32"/>
      <c r="W20" s="32"/>
      <c r="X20" s="32"/>
      <c r="Y20" s="32"/>
      <c r="Z20" s="32"/>
      <c r="AA20" s="32"/>
      <c r="AB20" s="32"/>
      <c r="AC20" s="32"/>
      <c r="AD20" s="32"/>
    </row>
    <row r="21" spans="1:30" ht="15.75">
      <c r="A21" s="29" t="s">
        <v>22</v>
      </c>
      <c r="B21" s="32" t="s">
        <v>200</v>
      </c>
      <c r="C21" s="29"/>
      <c r="D21" s="29"/>
      <c r="E21" s="29"/>
      <c r="F21" s="29"/>
      <c r="G21" s="29"/>
      <c r="H21" s="29"/>
      <c r="I21" s="29"/>
      <c r="J21" s="29"/>
      <c r="K21" s="29"/>
      <c r="L21" s="29"/>
      <c r="M21" s="29"/>
      <c r="N21" s="32"/>
      <c r="O21" s="32"/>
      <c r="P21" s="32"/>
      <c r="Q21" s="32"/>
      <c r="R21" s="32"/>
      <c r="S21" s="32"/>
      <c r="T21" s="32"/>
      <c r="U21" s="32"/>
      <c r="V21" s="32"/>
      <c r="W21" s="32"/>
      <c r="X21" s="32"/>
      <c r="Y21" s="32"/>
      <c r="Z21" s="32"/>
      <c r="AA21" s="32"/>
      <c r="AB21" s="32"/>
      <c r="AC21" s="32"/>
      <c r="AD21" s="32"/>
    </row>
    <row r="22" spans="1:30" ht="15.75">
      <c r="A22" s="29" t="s">
        <v>22</v>
      </c>
      <c r="B22" s="32" t="s">
        <v>201</v>
      </c>
      <c r="C22" s="29"/>
      <c r="D22" s="29"/>
      <c r="E22" s="29"/>
      <c r="F22" s="29"/>
      <c r="G22" s="29"/>
      <c r="H22" s="29"/>
      <c r="I22" s="29"/>
      <c r="J22" s="29"/>
      <c r="K22" s="29"/>
      <c r="L22" s="29"/>
      <c r="M22" s="29"/>
      <c r="N22" s="32"/>
      <c r="O22" s="32"/>
      <c r="P22" s="32"/>
      <c r="Q22" s="32"/>
      <c r="R22" s="32"/>
      <c r="S22" s="32"/>
      <c r="T22" s="32"/>
      <c r="U22" s="32"/>
      <c r="V22" s="32"/>
      <c r="W22" s="32"/>
      <c r="X22" s="32"/>
      <c r="Y22" s="32"/>
      <c r="Z22" s="32"/>
      <c r="AA22" s="32"/>
      <c r="AB22" s="32"/>
      <c r="AC22" s="32"/>
      <c r="AD22" s="32"/>
    </row>
    <row r="23" spans="1:30" ht="31.5">
      <c r="A23" s="30" t="s">
        <v>70</v>
      </c>
      <c r="B23" s="31" t="s">
        <v>192</v>
      </c>
      <c r="C23" s="29"/>
      <c r="D23" s="29"/>
      <c r="E23" s="29"/>
      <c r="F23" s="29"/>
      <c r="G23" s="29"/>
      <c r="H23" s="29"/>
      <c r="I23" s="29"/>
      <c r="J23" s="29"/>
      <c r="K23" s="29"/>
      <c r="L23" s="29"/>
      <c r="M23" s="29"/>
      <c r="N23" s="32"/>
      <c r="O23" s="32"/>
      <c r="P23" s="32"/>
      <c r="Q23" s="32"/>
      <c r="R23" s="32"/>
      <c r="S23" s="32"/>
      <c r="T23" s="32"/>
      <c r="U23" s="32"/>
      <c r="V23" s="32"/>
      <c r="W23" s="32"/>
      <c r="X23" s="32"/>
      <c r="Y23" s="32"/>
      <c r="Z23" s="32"/>
      <c r="AA23" s="32"/>
      <c r="AB23" s="32"/>
      <c r="AC23" s="32"/>
      <c r="AD23" s="32"/>
    </row>
    <row r="24" spans="1:30" ht="15.75">
      <c r="A24" s="29"/>
      <c r="B24" s="31" t="s">
        <v>202</v>
      </c>
      <c r="C24" s="29"/>
      <c r="D24" s="29"/>
      <c r="E24" s="29"/>
      <c r="F24" s="29"/>
      <c r="G24" s="29"/>
      <c r="H24" s="29"/>
      <c r="I24" s="29"/>
      <c r="J24" s="29"/>
      <c r="K24" s="29"/>
      <c r="L24" s="29"/>
      <c r="M24" s="29"/>
      <c r="N24" s="32"/>
      <c r="O24" s="32"/>
      <c r="P24" s="32"/>
      <c r="Q24" s="32"/>
      <c r="R24" s="32"/>
      <c r="S24" s="32"/>
      <c r="T24" s="32"/>
      <c r="U24" s="32"/>
      <c r="V24" s="32"/>
      <c r="W24" s="32"/>
      <c r="X24" s="32"/>
      <c r="Y24" s="32"/>
      <c r="Z24" s="32"/>
      <c r="AA24" s="32"/>
      <c r="AB24" s="32"/>
      <c r="AC24" s="32"/>
      <c r="AD24" s="32"/>
    </row>
    <row r="25" spans="1:30" ht="31.5">
      <c r="A25" s="30" t="s">
        <v>16</v>
      </c>
      <c r="B25" s="31" t="s">
        <v>203</v>
      </c>
      <c r="C25" s="29"/>
      <c r="D25" s="29"/>
      <c r="E25" s="29"/>
      <c r="F25" s="29"/>
      <c r="G25" s="29"/>
      <c r="H25" s="29"/>
      <c r="I25" s="29"/>
      <c r="J25" s="29"/>
      <c r="K25" s="29"/>
      <c r="L25" s="29"/>
      <c r="M25" s="29"/>
      <c r="N25" s="32"/>
      <c r="O25" s="32"/>
      <c r="P25" s="32"/>
      <c r="Q25" s="32"/>
      <c r="R25" s="32"/>
      <c r="S25" s="32"/>
      <c r="T25" s="32"/>
      <c r="U25" s="32"/>
      <c r="V25" s="32"/>
      <c r="W25" s="32"/>
      <c r="X25" s="32"/>
      <c r="Y25" s="32"/>
      <c r="Z25" s="32"/>
      <c r="AA25" s="32"/>
      <c r="AB25" s="32"/>
      <c r="AC25" s="32"/>
      <c r="AD25" s="32"/>
    </row>
    <row r="26" spans="1:30" ht="15.75">
      <c r="A26" s="29"/>
      <c r="B26" s="31" t="s">
        <v>204</v>
      </c>
      <c r="C26" s="29"/>
      <c r="D26" s="29"/>
      <c r="E26" s="29"/>
      <c r="F26" s="29"/>
      <c r="G26" s="29"/>
      <c r="H26" s="29"/>
      <c r="I26" s="29"/>
      <c r="J26" s="29"/>
      <c r="K26" s="29"/>
      <c r="L26" s="29"/>
      <c r="M26" s="29"/>
      <c r="N26" s="32"/>
      <c r="O26" s="32"/>
      <c r="P26" s="32"/>
      <c r="Q26" s="32"/>
      <c r="R26" s="32"/>
      <c r="S26" s="32"/>
      <c r="T26" s="32"/>
      <c r="U26" s="32"/>
      <c r="V26" s="32"/>
      <c r="W26" s="32"/>
      <c r="X26" s="32"/>
      <c r="Y26" s="32"/>
      <c r="Z26" s="32"/>
      <c r="AA26" s="32"/>
      <c r="AB26" s="32"/>
      <c r="AC26" s="32"/>
      <c r="AD26" s="32"/>
    </row>
    <row r="27" spans="1:30" ht="15.75">
      <c r="A27" s="29" t="s">
        <v>22</v>
      </c>
      <c r="B27" s="32" t="s">
        <v>205</v>
      </c>
      <c r="C27" s="29"/>
      <c r="D27" s="29"/>
      <c r="E27" s="29"/>
      <c r="F27" s="29"/>
      <c r="G27" s="29"/>
      <c r="H27" s="29"/>
      <c r="I27" s="29"/>
      <c r="J27" s="29"/>
      <c r="K27" s="29"/>
      <c r="L27" s="29"/>
      <c r="M27" s="29"/>
      <c r="N27" s="32"/>
      <c r="O27" s="32"/>
      <c r="P27" s="32"/>
      <c r="Q27" s="32"/>
      <c r="R27" s="32"/>
      <c r="S27" s="32"/>
      <c r="T27" s="32"/>
      <c r="U27" s="32"/>
      <c r="V27" s="32"/>
      <c r="W27" s="32"/>
      <c r="X27" s="32"/>
      <c r="Y27" s="32"/>
      <c r="Z27" s="32"/>
      <c r="AA27" s="32"/>
      <c r="AB27" s="32"/>
      <c r="AC27" s="32"/>
      <c r="AD27" s="32"/>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27">
    <mergeCell ref="AA5:AD6"/>
    <mergeCell ref="K7:K8"/>
    <mergeCell ref="X7:Z7"/>
    <mergeCell ref="AA7:AA8"/>
    <mergeCell ref="AB7:AD7"/>
    <mergeCell ref="A2:AD2"/>
    <mergeCell ref="A3:AD3"/>
    <mergeCell ref="L7:N7"/>
    <mergeCell ref="O7:O8"/>
    <mergeCell ref="P7:R7"/>
    <mergeCell ref="S7:S8"/>
    <mergeCell ref="T7:V7"/>
    <mergeCell ref="W7:W8"/>
    <mergeCell ref="K5:N6"/>
    <mergeCell ref="O5:R6"/>
    <mergeCell ref="S5:V6"/>
    <mergeCell ref="W5:Z6"/>
    <mergeCell ref="F5:J5"/>
    <mergeCell ref="A5:A8"/>
    <mergeCell ref="B5:B8"/>
    <mergeCell ref="C5:C8"/>
    <mergeCell ref="D5:D8"/>
    <mergeCell ref="E5:E8"/>
    <mergeCell ref="F6:F8"/>
    <mergeCell ref="G6:J6"/>
    <mergeCell ref="G7:G8"/>
    <mergeCell ref="H7:J7"/>
  </mergeCells>
  <pageMargins left="0.7" right="0.7" top="0.75" bottom="0.75" header="0.3" footer="0.3"/>
</worksheet>
</file>

<file path=xl/worksheets/sheet64.xml><?xml version="1.0" encoding="utf-8"?>
<worksheet xmlns="http://schemas.openxmlformats.org/spreadsheetml/2006/main" xmlns:r="http://schemas.openxmlformats.org/officeDocument/2006/relationships">
  <sheetPr>
    <tabColor rgb="FF00B0F0"/>
  </sheetPr>
  <dimension ref="A1:L23"/>
  <sheetViews>
    <sheetView workbookViewId="0"/>
  </sheetViews>
  <sheetFormatPr defaultRowHeight="15"/>
  <cols>
    <col min="1" max="1" width="5.85546875" customWidth="1"/>
    <col min="2" max="2" width="17" customWidth="1"/>
    <col min="3" max="12" width="11.7109375" customWidth="1"/>
  </cols>
  <sheetData>
    <row r="1" spans="1:12" ht="15.75">
      <c r="L1" s="26" t="s">
        <v>775</v>
      </c>
    </row>
    <row r="2" spans="1:12" ht="15.75">
      <c r="A2" s="781" t="s">
        <v>776</v>
      </c>
      <c r="B2" s="781"/>
      <c r="C2" s="781"/>
      <c r="D2" s="781"/>
      <c r="E2" s="781"/>
      <c r="F2" s="781"/>
      <c r="G2" s="781"/>
      <c r="H2" s="781"/>
      <c r="I2" s="781"/>
      <c r="J2" s="781"/>
      <c r="K2" s="781"/>
      <c r="L2" s="781"/>
    </row>
    <row r="3" spans="1:12" ht="15.75">
      <c r="A3" s="774" t="s">
        <v>126</v>
      </c>
      <c r="B3" s="774"/>
      <c r="C3" s="774"/>
      <c r="D3" s="774"/>
      <c r="E3" s="774"/>
      <c r="F3" s="774"/>
      <c r="G3" s="774"/>
      <c r="H3" s="774"/>
      <c r="I3" s="774"/>
      <c r="J3" s="774"/>
      <c r="K3" s="774"/>
      <c r="L3" s="774"/>
    </row>
    <row r="4" spans="1:12" ht="15.75">
      <c r="L4" s="27" t="s">
        <v>56</v>
      </c>
    </row>
    <row r="5" spans="1:12" ht="15.75">
      <c r="A5" s="773" t="s">
        <v>3</v>
      </c>
      <c r="B5" s="773" t="s">
        <v>777</v>
      </c>
      <c r="C5" s="773" t="s">
        <v>778</v>
      </c>
      <c r="D5" s="773" t="s">
        <v>547</v>
      </c>
      <c r="E5" s="773"/>
      <c r="F5" s="773"/>
      <c r="G5" s="773"/>
      <c r="H5" s="773" t="s">
        <v>779</v>
      </c>
      <c r="I5" s="773"/>
      <c r="J5" s="773"/>
      <c r="K5" s="773"/>
      <c r="L5" s="773" t="s">
        <v>780</v>
      </c>
    </row>
    <row r="6" spans="1:12" ht="35.25" customHeight="1">
      <c r="A6" s="773"/>
      <c r="B6" s="773"/>
      <c r="C6" s="773"/>
      <c r="D6" s="773" t="s">
        <v>548</v>
      </c>
      <c r="E6" s="773"/>
      <c r="F6" s="773" t="s">
        <v>549</v>
      </c>
      <c r="G6" s="773" t="s">
        <v>550</v>
      </c>
      <c r="H6" s="773" t="s">
        <v>548</v>
      </c>
      <c r="I6" s="773"/>
      <c r="J6" s="773" t="s">
        <v>549</v>
      </c>
      <c r="K6" s="773" t="s">
        <v>550</v>
      </c>
      <c r="L6" s="773"/>
    </row>
    <row r="7" spans="1:12" ht="68.25" customHeight="1">
      <c r="A7" s="773"/>
      <c r="B7" s="773"/>
      <c r="C7" s="773"/>
      <c r="D7" s="30" t="s">
        <v>130</v>
      </c>
      <c r="E7" s="30" t="s">
        <v>551</v>
      </c>
      <c r="F7" s="773"/>
      <c r="G7" s="773"/>
      <c r="H7" s="30" t="s">
        <v>130</v>
      </c>
      <c r="I7" s="30" t="s">
        <v>551</v>
      </c>
      <c r="J7" s="773"/>
      <c r="K7" s="773"/>
      <c r="L7" s="773"/>
    </row>
    <row r="8" spans="1:12" s="41" customFormat="1" ht="12.75">
      <c r="A8" s="40" t="s">
        <v>15</v>
      </c>
      <c r="B8" s="40" t="s">
        <v>16</v>
      </c>
      <c r="C8" s="40">
        <v>1</v>
      </c>
      <c r="D8" s="40">
        <v>2</v>
      </c>
      <c r="E8" s="40">
        <v>3</v>
      </c>
      <c r="F8" s="40">
        <v>4</v>
      </c>
      <c r="G8" s="40" t="s">
        <v>651</v>
      </c>
      <c r="H8" s="40">
        <v>6</v>
      </c>
      <c r="I8" s="40">
        <v>7</v>
      </c>
      <c r="J8" s="40">
        <v>8</v>
      </c>
      <c r="K8" s="40" t="s">
        <v>553</v>
      </c>
      <c r="L8" s="40" t="s">
        <v>781</v>
      </c>
    </row>
    <row r="9" spans="1:12" ht="15.75">
      <c r="A9" s="29">
        <v>1</v>
      </c>
      <c r="B9" s="32" t="s">
        <v>555</v>
      </c>
      <c r="C9" s="32"/>
      <c r="D9" s="32"/>
      <c r="E9" s="32"/>
      <c r="F9" s="32"/>
      <c r="G9" s="32"/>
      <c r="H9" s="32"/>
      <c r="I9" s="32"/>
      <c r="J9" s="32"/>
      <c r="K9" s="32"/>
      <c r="L9" s="32"/>
    </row>
    <row r="10" spans="1:12" ht="15.75">
      <c r="A10" s="29">
        <v>2</v>
      </c>
      <c r="B10" s="32" t="s">
        <v>556</v>
      </c>
      <c r="C10" s="32"/>
      <c r="D10" s="32"/>
      <c r="E10" s="32"/>
      <c r="F10" s="32"/>
      <c r="G10" s="32"/>
      <c r="H10" s="32"/>
      <c r="I10" s="32"/>
      <c r="J10" s="32"/>
      <c r="K10" s="32"/>
      <c r="L10" s="32"/>
    </row>
    <row r="11" spans="1:12" ht="15.75">
      <c r="A11" s="29">
        <v>3</v>
      </c>
      <c r="B11" s="32" t="s">
        <v>557</v>
      </c>
      <c r="C11" s="32"/>
      <c r="D11" s="32"/>
      <c r="E11" s="32"/>
      <c r="F11" s="32"/>
      <c r="G11" s="32"/>
      <c r="H11" s="32"/>
      <c r="I11" s="32"/>
      <c r="J11" s="32"/>
      <c r="K11" s="32"/>
      <c r="L11" s="32"/>
    </row>
    <row r="12" spans="1:12" ht="15.75">
      <c r="A12" s="29">
        <v>4</v>
      </c>
      <c r="B12" s="32" t="s">
        <v>474</v>
      </c>
      <c r="C12" s="32"/>
      <c r="D12" s="32"/>
      <c r="E12" s="32"/>
      <c r="F12" s="32"/>
      <c r="G12" s="32"/>
      <c r="H12" s="32"/>
      <c r="I12" s="32"/>
      <c r="J12" s="32"/>
      <c r="K12" s="32"/>
      <c r="L12" s="32"/>
    </row>
    <row r="13" spans="1:12" ht="15.75">
      <c r="A13" s="29">
        <v>5</v>
      </c>
      <c r="B13" s="38"/>
      <c r="C13" s="32"/>
      <c r="D13" s="32"/>
      <c r="E13" s="32"/>
      <c r="F13" s="32"/>
      <c r="G13" s="32"/>
      <c r="H13" s="32"/>
      <c r="I13" s="32"/>
      <c r="J13" s="32"/>
      <c r="K13" s="32"/>
      <c r="L13" s="32"/>
    </row>
    <row r="14" spans="1:12" ht="15.75">
      <c r="A14" s="29">
        <v>6</v>
      </c>
      <c r="B14" s="38"/>
      <c r="C14" s="32"/>
      <c r="D14" s="32"/>
      <c r="E14" s="32"/>
      <c r="F14" s="32"/>
      <c r="G14" s="32"/>
      <c r="H14" s="32"/>
      <c r="I14" s="32"/>
      <c r="J14" s="32"/>
      <c r="K14" s="32"/>
      <c r="L14" s="32"/>
    </row>
    <row r="15" spans="1:12" ht="15.75">
      <c r="A15" s="29">
        <v>7</v>
      </c>
      <c r="B15" s="38"/>
      <c r="C15" s="32"/>
      <c r="D15" s="32"/>
      <c r="E15" s="32"/>
      <c r="F15" s="32"/>
      <c r="G15" s="32"/>
      <c r="H15" s="32"/>
      <c r="I15" s="32"/>
      <c r="J15" s="32"/>
      <c r="K15" s="32"/>
      <c r="L15" s="32"/>
    </row>
    <row r="16" spans="1:12" ht="15.75">
      <c r="A16" s="29">
        <v>8</v>
      </c>
      <c r="B16" s="38"/>
      <c r="C16" s="32"/>
      <c r="D16" s="32"/>
      <c r="E16" s="32"/>
      <c r="F16" s="32"/>
      <c r="G16" s="32"/>
      <c r="H16" s="32"/>
      <c r="I16" s="32"/>
      <c r="J16" s="32"/>
      <c r="K16" s="32"/>
      <c r="L16" s="32"/>
    </row>
    <row r="17" spans="1:12" ht="15.75">
      <c r="A17" s="29">
        <v>9</v>
      </c>
      <c r="B17" s="38"/>
      <c r="C17" s="32"/>
      <c r="D17" s="32"/>
      <c r="E17" s="32"/>
      <c r="F17" s="32"/>
      <c r="G17" s="32"/>
      <c r="H17" s="32"/>
      <c r="I17" s="32"/>
      <c r="J17" s="32"/>
      <c r="K17" s="32"/>
      <c r="L17" s="32"/>
    </row>
    <row r="18" spans="1:12" ht="15.75">
      <c r="A18" s="29">
        <v>10</v>
      </c>
      <c r="B18" s="38"/>
      <c r="C18" s="32"/>
      <c r="D18" s="32"/>
      <c r="E18" s="32"/>
      <c r="F18" s="32"/>
      <c r="G18" s="32"/>
      <c r="H18" s="32"/>
      <c r="I18" s="32"/>
      <c r="J18" s="32"/>
      <c r="K18" s="32"/>
      <c r="L18" s="32"/>
    </row>
    <row r="19" spans="1:12" ht="15.75">
      <c r="A19" s="29">
        <v>11</v>
      </c>
      <c r="B19" s="38"/>
      <c r="C19" s="32"/>
      <c r="D19" s="32"/>
      <c r="E19" s="32"/>
      <c r="F19" s="32"/>
      <c r="G19" s="32"/>
      <c r="H19" s="32"/>
      <c r="I19" s="32"/>
      <c r="J19" s="32"/>
      <c r="K19" s="32"/>
      <c r="L19" s="32"/>
    </row>
    <row r="20" spans="1:12" ht="15.75">
      <c r="A20" s="29">
        <v>12</v>
      </c>
      <c r="B20" s="38"/>
      <c r="C20" s="32"/>
      <c r="D20" s="32"/>
      <c r="E20" s="32"/>
      <c r="F20" s="32"/>
      <c r="G20" s="32"/>
      <c r="H20" s="32"/>
      <c r="I20" s="32"/>
      <c r="J20" s="32"/>
      <c r="K20" s="32"/>
      <c r="L20" s="32"/>
    </row>
    <row r="21" spans="1:12" ht="15.75">
      <c r="A21" s="29">
        <v>13</v>
      </c>
      <c r="B21" s="38"/>
      <c r="C21" s="32"/>
      <c r="D21" s="32"/>
      <c r="E21" s="32"/>
      <c r="F21" s="32"/>
      <c r="G21" s="32"/>
      <c r="H21" s="32"/>
      <c r="I21" s="32"/>
      <c r="J21" s="32"/>
      <c r="K21" s="32"/>
      <c r="L21" s="32"/>
    </row>
    <row r="22" spans="1:12" ht="15.75">
      <c r="A22" s="29">
        <v>14</v>
      </c>
      <c r="B22" s="38"/>
      <c r="C22" s="32"/>
      <c r="D22" s="32"/>
      <c r="E22" s="32"/>
      <c r="F22" s="32"/>
      <c r="G22" s="32"/>
      <c r="H22" s="32"/>
      <c r="I22" s="32"/>
      <c r="J22" s="32"/>
      <c r="K22" s="32"/>
      <c r="L22" s="32"/>
    </row>
    <row r="23" spans="1:12" ht="15.75">
      <c r="A23" s="29">
        <v>15</v>
      </c>
      <c r="B23" s="38"/>
      <c r="C23" s="32"/>
      <c r="D23" s="32"/>
      <c r="E23" s="32"/>
      <c r="F23" s="32"/>
      <c r="G23" s="32"/>
      <c r="H23" s="32"/>
      <c r="I23" s="32"/>
      <c r="J23" s="32"/>
      <c r="K23" s="32"/>
      <c r="L23" s="32"/>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14">
    <mergeCell ref="A2:L2"/>
    <mergeCell ref="A3:L3"/>
    <mergeCell ref="J6:J7"/>
    <mergeCell ref="K6:K7"/>
    <mergeCell ref="A5:A7"/>
    <mergeCell ref="B5:B7"/>
    <mergeCell ref="C5:C7"/>
    <mergeCell ref="D5:G5"/>
    <mergeCell ref="H5:K5"/>
    <mergeCell ref="L5:L7"/>
    <mergeCell ref="D6:E6"/>
    <mergeCell ref="F6:F7"/>
    <mergeCell ref="G6:G7"/>
    <mergeCell ref="H6:I6"/>
  </mergeCells>
  <pageMargins left="0.7" right="0.7" top="0.75" bottom="0.75" header="0.3" footer="0.3"/>
</worksheet>
</file>

<file path=xl/worksheets/sheet65.xml><?xml version="1.0" encoding="utf-8"?>
<worksheet xmlns="http://schemas.openxmlformats.org/spreadsheetml/2006/main" xmlns:r="http://schemas.openxmlformats.org/officeDocument/2006/relationships">
  <sheetPr>
    <tabColor rgb="FF00B0F0"/>
  </sheetPr>
  <dimension ref="A1:E20"/>
  <sheetViews>
    <sheetView workbookViewId="0"/>
  </sheetViews>
  <sheetFormatPr defaultRowHeight="15"/>
  <cols>
    <col min="1" max="1" width="6.28515625" customWidth="1"/>
    <col min="2" max="2" width="42" customWidth="1"/>
    <col min="3" max="5" width="13.5703125" customWidth="1"/>
  </cols>
  <sheetData>
    <row r="1" spans="1:5" ht="15.75">
      <c r="E1" s="26" t="s">
        <v>782</v>
      </c>
    </row>
    <row r="2" spans="1:5" ht="15.75">
      <c r="A2" s="774" t="s">
        <v>783</v>
      </c>
      <c r="B2" s="774"/>
      <c r="C2" s="774"/>
      <c r="D2" s="774"/>
      <c r="E2" s="774"/>
    </row>
    <row r="3" spans="1:5" ht="15.75">
      <c r="A3" s="774" t="s">
        <v>784</v>
      </c>
      <c r="B3" s="774"/>
      <c r="C3" s="774"/>
      <c r="D3" s="774"/>
      <c r="E3" s="774"/>
    </row>
    <row r="4" spans="1:5" ht="15.75">
      <c r="A4" s="774" t="s">
        <v>126</v>
      </c>
      <c r="B4" s="774"/>
      <c r="C4" s="774"/>
      <c r="D4" s="774"/>
      <c r="E4" s="774"/>
    </row>
    <row r="5" spans="1:5" ht="15.75">
      <c r="E5" s="27" t="s">
        <v>56</v>
      </c>
    </row>
    <row r="6" spans="1:5" ht="31.5">
      <c r="A6" s="30" t="s">
        <v>3</v>
      </c>
      <c r="B6" s="30" t="s">
        <v>4</v>
      </c>
      <c r="C6" s="30" t="s">
        <v>547</v>
      </c>
      <c r="D6" s="30" t="s">
        <v>779</v>
      </c>
      <c r="E6" s="30" t="s">
        <v>346</v>
      </c>
    </row>
    <row r="7" spans="1:5" s="41" customFormat="1" ht="12.75">
      <c r="A7" s="40" t="s">
        <v>15</v>
      </c>
      <c r="B7" s="40" t="s">
        <v>16</v>
      </c>
      <c r="C7" s="40">
        <v>1</v>
      </c>
      <c r="D7" s="40">
        <v>2</v>
      </c>
      <c r="E7" s="40" t="s">
        <v>258</v>
      </c>
    </row>
    <row r="8" spans="1:5" ht="19.5" customHeight="1">
      <c r="A8" s="29"/>
      <c r="B8" s="31" t="s">
        <v>133</v>
      </c>
      <c r="C8" s="32"/>
      <c r="D8" s="32"/>
      <c r="E8" s="32"/>
    </row>
    <row r="9" spans="1:5" ht="19.5" customHeight="1">
      <c r="A9" s="29">
        <v>1</v>
      </c>
      <c r="B9" s="32" t="s">
        <v>560</v>
      </c>
      <c r="C9" s="32"/>
      <c r="D9" s="32"/>
      <c r="E9" s="32"/>
    </row>
    <row r="10" spans="1:5" ht="19.5" customHeight="1">
      <c r="A10" s="29" t="s">
        <v>22</v>
      </c>
      <c r="B10" s="33" t="s">
        <v>561</v>
      </c>
      <c r="C10" s="32"/>
      <c r="D10" s="32"/>
      <c r="E10" s="32"/>
    </row>
    <row r="11" spans="1:5" ht="19.5" customHeight="1">
      <c r="A11" s="29" t="s">
        <v>22</v>
      </c>
      <c r="B11" s="33" t="s">
        <v>562</v>
      </c>
      <c r="C11" s="32"/>
      <c r="D11" s="32"/>
      <c r="E11" s="32"/>
    </row>
    <row r="12" spans="1:5" ht="19.5" customHeight="1">
      <c r="A12" s="29">
        <v>2</v>
      </c>
      <c r="B12" s="32" t="s">
        <v>563</v>
      </c>
      <c r="C12" s="32"/>
      <c r="D12" s="32"/>
      <c r="E12" s="32"/>
    </row>
    <row r="13" spans="1:5" ht="19.5" customHeight="1">
      <c r="A13" s="29">
        <v>3</v>
      </c>
      <c r="B13" s="32" t="s">
        <v>564</v>
      </c>
      <c r="C13" s="32"/>
      <c r="D13" s="32"/>
      <c r="E13" s="32"/>
    </row>
    <row r="14" spans="1:5" ht="19.5" customHeight="1">
      <c r="A14" s="29">
        <v>4</v>
      </c>
      <c r="B14" s="32" t="s">
        <v>565</v>
      </c>
      <c r="C14" s="32"/>
      <c r="D14" s="32"/>
      <c r="E14" s="32"/>
    </row>
    <row r="15" spans="1:5" ht="19.5" customHeight="1">
      <c r="A15" s="29">
        <v>5</v>
      </c>
      <c r="B15" s="32" t="s">
        <v>566</v>
      </c>
      <c r="C15" s="32"/>
      <c r="D15" s="32"/>
      <c r="E15" s="32"/>
    </row>
    <row r="16" spans="1:5" ht="19.5" customHeight="1">
      <c r="A16" s="29">
        <v>6</v>
      </c>
      <c r="B16" s="32" t="s">
        <v>567</v>
      </c>
      <c r="C16" s="32"/>
      <c r="D16" s="32"/>
      <c r="E16" s="32"/>
    </row>
    <row r="17" spans="1:5" ht="19.5" customHeight="1">
      <c r="A17" s="29">
        <v>7</v>
      </c>
      <c r="B17" s="32" t="s">
        <v>621</v>
      </c>
      <c r="C17" s="32"/>
      <c r="D17" s="32"/>
      <c r="E17" s="32"/>
    </row>
    <row r="18" spans="1:5" ht="19.5" customHeight="1">
      <c r="A18" s="29">
        <v>8</v>
      </c>
      <c r="B18" s="32"/>
      <c r="C18" s="32"/>
      <c r="D18" s="32"/>
      <c r="E18" s="32"/>
    </row>
    <row r="19" spans="1:5" ht="19.5" customHeight="1">
      <c r="A19" s="29">
        <v>9</v>
      </c>
      <c r="B19" s="32"/>
      <c r="C19" s="32"/>
      <c r="D19" s="32"/>
      <c r="E19" s="32"/>
    </row>
    <row r="20" spans="1:5" ht="19.5" customHeight="1">
      <c r="A20" s="29">
        <v>10</v>
      </c>
      <c r="B20" s="32"/>
      <c r="C20" s="32"/>
      <c r="D20" s="32"/>
      <c r="E20" s="32"/>
    </row>
  </sheetData>
  <customSheetViews>
    <customSheetView guid="{9F606621-8853-4836-9A7E-DBA5CF152671}" state="hidden">
      <pageMargins left="0.7" right="0.7" top="0.75" bottom="0.75" header="0.3" footer="0.3"/>
    </customSheetView>
    <customSheetView guid="{DB9039ED-C6EA-422D-9A5D-D152D95EDC67}" state="hidden">
      <pageMargins left="0.7" right="0.7" top="0.75" bottom="0.75" header="0.3" footer="0.3"/>
    </customSheetView>
  </customSheetViews>
  <mergeCells count="3">
    <mergeCell ref="A2:E2"/>
    <mergeCell ref="A3:E3"/>
    <mergeCell ref="A4:E4"/>
  </mergeCells>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2:E17"/>
  <sheetViews>
    <sheetView topLeftCell="A4" workbookViewId="0">
      <selection activeCell="D5" sqref="D5"/>
    </sheetView>
  </sheetViews>
  <sheetFormatPr defaultRowHeight="15"/>
  <cols>
    <col min="1" max="1" width="21.7109375" customWidth="1"/>
    <col min="2" max="2" width="15.7109375" style="193" customWidth="1"/>
    <col min="3" max="5" width="13.5703125" style="193" customWidth="1"/>
  </cols>
  <sheetData>
    <row r="2" spans="1:5">
      <c r="A2" s="205"/>
      <c r="B2" s="826" t="s">
        <v>979</v>
      </c>
      <c r="C2" s="827"/>
      <c r="D2" s="827"/>
      <c r="E2" s="827"/>
    </row>
    <row r="3" spans="1:5">
      <c r="A3" s="205"/>
      <c r="B3" s="206" t="s">
        <v>981</v>
      </c>
      <c r="C3" s="206" t="s">
        <v>977</v>
      </c>
      <c r="D3" s="206" t="s">
        <v>978</v>
      </c>
      <c r="E3" s="206" t="s">
        <v>986</v>
      </c>
    </row>
    <row r="4" spans="1:5" s="203" customFormat="1">
      <c r="A4" s="207" t="s">
        <v>985</v>
      </c>
      <c r="B4" s="208">
        <f>+B5+B8</f>
        <v>164222</v>
      </c>
      <c r="C4" s="208">
        <f t="shared" ref="C4:E4" si="0">+C5+C8</f>
        <v>19946</v>
      </c>
      <c r="D4" s="208">
        <f t="shared" si="0"/>
        <v>125438.258</v>
      </c>
      <c r="E4" s="208">
        <f t="shared" si="0"/>
        <v>18837.741999999998</v>
      </c>
    </row>
    <row r="5" spans="1:5" s="203" customFormat="1">
      <c r="A5" s="211" t="s">
        <v>980</v>
      </c>
      <c r="B5" s="212">
        <f>B6+B7</f>
        <v>134900</v>
      </c>
      <c r="C5" s="212">
        <f t="shared" ref="C5:E5" si="1">C6+C7</f>
        <v>16010</v>
      </c>
      <c r="D5" s="212">
        <f t="shared" si="1"/>
        <v>118890</v>
      </c>
      <c r="E5" s="212">
        <f t="shared" si="1"/>
        <v>0</v>
      </c>
    </row>
    <row r="6" spans="1:5" s="204" customFormat="1">
      <c r="A6" s="209" t="s">
        <v>982</v>
      </c>
      <c r="B6" s="210">
        <v>99000</v>
      </c>
      <c r="C6" s="210">
        <f>+B6-D6-E6</f>
        <v>0</v>
      </c>
      <c r="D6" s="210">
        <v>99000</v>
      </c>
      <c r="E6" s="210"/>
    </row>
    <row r="7" spans="1:5" s="204" customFormat="1">
      <c r="A7" s="209" t="s">
        <v>983</v>
      </c>
      <c r="B7" s="210">
        <v>35900</v>
      </c>
      <c r="C7" s="210">
        <f>+B7-D7-E7</f>
        <v>16010</v>
      </c>
      <c r="D7" s="210">
        <v>19890</v>
      </c>
      <c r="E7" s="210"/>
    </row>
    <row r="8" spans="1:5" s="203" customFormat="1">
      <c r="A8" s="211" t="s">
        <v>984</v>
      </c>
      <c r="B8" s="212">
        <f>+B9+B10</f>
        <v>29322</v>
      </c>
      <c r="C8" s="212">
        <f>C9+C10</f>
        <v>3936</v>
      </c>
      <c r="D8" s="212">
        <f>D9+D10</f>
        <v>6548.2579999999998</v>
      </c>
      <c r="E8" s="212">
        <f>E9+E10</f>
        <v>18837.741999999998</v>
      </c>
    </row>
    <row r="9" spans="1:5" s="204" customFormat="1">
      <c r="A9" s="209" t="s">
        <v>982</v>
      </c>
      <c r="B9" s="210">
        <v>18639</v>
      </c>
      <c r="C9" s="210">
        <f>+B9-D9-E9</f>
        <v>0</v>
      </c>
      <c r="D9" s="210"/>
      <c r="E9" s="210">
        <v>18639</v>
      </c>
    </row>
    <row r="10" spans="1:5" s="204" customFormat="1">
      <c r="A10" s="213" t="s">
        <v>983</v>
      </c>
      <c r="B10" s="214">
        <v>10683</v>
      </c>
      <c r="C10" s="210">
        <f>+B10-D10-E10</f>
        <v>3936</v>
      </c>
      <c r="D10" s="214">
        <v>6548.2579999999998</v>
      </c>
      <c r="E10" s="214">
        <f>10683-10484.258</f>
        <v>198.74200000000019</v>
      </c>
    </row>
    <row r="11" spans="1:5">
      <c r="A11" s="207" t="s">
        <v>987</v>
      </c>
      <c r="B11" s="208"/>
      <c r="C11" s="208"/>
      <c r="D11" s="208"/>
      <c r="E11" s="208"/>
    </row>
    <row r="12" spans="1:5">
      <c r="A12" s="211" t="s">
        <v>980</v>
      </c>
      <c r="B12" s="212">
        <f>B13+B14</f>
        <v>2300</v>
      </c>
      <c r="C12" s="212">
        <f t="shared" ref="C12" si="2">C13+C14</f>
        <v>2300</v>
      </c>
      <c r="D12" s="212">
        <f t="shared" ref="D12:E12" si="3">D13+D14</f>
        <v>0</v>
      </c>
      <c r="E12" s="212">
        <f t="shared" si="3"/>
        <v>0</v>
      </c>
    </row>
    <row r="13" spans="1:5">
      <c r="A13" s="209" t="s">
        <v>982</v>
      </c>
      <c r="B13" s="210">
        <f>2300-B14</f>
        <v>2300</v>
      </c>
      <c r="C13" s="210">
        <f>+B13-D13-E13</f>
        <v>2300</v>
      </c>
      <c r="D13" s="210"/>
      <c r="E13" s="210"/>
    </row>
    <row r="14" spans="1:5">
      <c r="A14" s="209" t="s">
        <v>983</v>
      </c>
      <c r="B14" s="210"/>
      <c r="C14" s="210">
        <f>+B14-D14-E14</f>
        <v>0</v>
      </c>
      <c r="D14" s="210"/>
      <c r="E14" s="210"/>
    </row>
    <row r="15" spans="1:5">
      <c r="A15" s="211" t="s">
        <v>984</v>
      </c>
      <c r="B15" s="212">
        <f>+B16+B17</f>
        <v>1042</v>
      </c>
      <c r="C15" s="212">
        <f>C16+C17</f>
        <v>0</v>
      </c>
      <c r="D15" s="212">
        <f>D16+D17</f>
        <v>648</v>
      </c>
      <c r="E15" s="212">
        <f>E16+E17</f>
        <v>394</v>
      </c>
    </row>
    <row r="16" spans="1:5">
      <c r="A16" s="209" t="s">
        <v>982</v>
      </c>
      <c r="B16" s="210">
        <f>1042-B17</f>
        <v>394</v>
      </c>
      <c r="C16" s="210">
        <f>+B16-D16-E16</f>
        <v>0</v>
      </c>
      <c r="D16" s="210"/>
      <c r="E16" s="210">
        <v>394</v>
      </c>
    </row>
    <row r="17" spans="1:5">
      <c r="A17" s="213" t="s">
        <v>983</v>
      </c>
      <c r="B17" s="214">
        <v>648</v>
      </c>
      <c r="C17" s="214">
        <f>+B17-D17-E17</f>
        <v>0</v>
      </c>
      <c r="D17" s="214">
        <f>7196.258-D10</f>
        <v>648</v>
      </c>
      <c r="E17" s="214"/>
    </row>
  </sheetData>
  <customSheetViews>
    <customSheetView guid="{9F606621-8853-4836-9A7E-DBA5CF152671}" topLeftCell="A4">
      <selection activeCell="D5" sqref="D5"/>
      <pageMargins left="0.7" right="0.7" top="0.75" bottom="0.75" header="0.3" footer="0.3"/>
    </customSheetView>
    <customSheetView guid="{DB9039ED-C6EA-422D-9A5D-D152D95EDC67}">
      <selection activeCell="D5" sqref="D5"/>
      <pageMargins left="0.7" right="0.7" top="0.75" bottom="0.75" header="0.3" footer="0.3"/>
    </customSheetView>
  </customSheetViews>
  <mergeCells count="1">
    <mergeCell ref="B2:E2"/>
  </mergeCells>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M44"/>
  <sheetViews>
    <sheetView topLeftCell="A13" workbookViewId="0">
      <selection activeCell="H9" sqref="H9"/>
    </sheetView>
  </sheetViews>
  <sheetFormatPr defaultColWidth="9.140625" defaultRowHeight="15"/>
  <cols>
    <col min="1" max="1" width="7" style="241" customWidth="1"/>
    <col min="2" max="2" width="24.140625" style="241" customWidth="1"/>
    <col min="3" max="5" width="12.7109375" style="241" customWidth="1"/>
    <col min="6" max="6" width="10.140625" style="241" customWidth="1"/>
    <col min="7" max="7" width="11.5703125" style="241" customWidth="1"/>
    <col min="8" max="8" width="9.140625" style="241"/>
    <col min="9" max="10" width="9.140625" style="241" hidden="1" customWidth="1"/>
    <col min="11" max="11" width="11.85546875" style="241" hidden="1" customWidth="1"/>
    <col min="12" max="12" width="11.42578125" style="241" customWidth="1"/>
    <col min="13" max="13" width="12.140625" style="241" customWidth="1"/>
    <col min="14" max="16384" width="9.140625" style="241"/>
  </cols>
  <sheetData>
    <row r="1" spans="1:13">
      <c r="A1" s="243" t="s">
        <v>1054</v>
      </c>
    </row>
    <row r="3" spans="1:13">
      <c r="A3" s="243" t="s">
        <v>1055</v>
      </c>
    </row>
    <row r="5" spans="1:13" s="245" customFormat="1" ht="15" customHeight="1">
      <c r="A5" s="828" t="s">
        <v>3</v>
      </c>
      <c r="B5" s="828" t="s">
        <v>889</v>
      </c>
      <c r="C5" s="828" t="s">
        <v>1056</v>
      </c>
      <c r="D5" s="828"/>
      <c r="E5" s="828" t="s">
        <v>1057</v>
      </c>
      <c r="F5" s="828"/>
      <c r="G5" s="828" t="s">
        <v>1058</v>
      </c>
      <c r="H5" s="828"/>
      <c r="I5" s="828"/>
      <c r="J5" s="828"/>
      <c r="K5" s="828" t="s">
        <v>1060</v>
      </c>
      <c r="L5" s="828"/>
      <c r="M5" s="828"/>
    </row>
    <row r="6" spans="1:13" s="245" customFormat="1" ht="28.5" customHeight="1">
      <c r="A6" s="828"/>
      <c r="B6" s="828"/>
      <c r="C6" s="828"/>
      <c r="D6" s="828"/>
      <c r="E6" s="828"/>
      <c r="F6" s="828"/>
      <c r="G6" s="828" t="s">
        <v>1059</v>
      </c>
      <c r="H6" s="828"/>
      <c r="I6" s="828" t="s">
        <v>889</v>
      </c>
      <c r="J6" s="828"/>
      <c r="K6" s="828" t="s">
        <v>1061</v>
      </c>
      <c r="L6" s="828" t="s">
        <v>1062</v>
      </c>
      <c r="M6" s="828" t="s">
        <v>1063</v>
      </c>
    </row>
    <row r="7" spans="1:13" s="245" customFormat="1" ht="28.5">
      <c r="A7" s="828"/>
      <c r="B7" s="828"/>
      <c r="C7" s="246" t="s">
        <v>1067</v>
      </c>
      <c r="D7" s="246" t="s">
        <v>1068</v>
      </c>
      <c r="E7" s="246" t="s">
        <v>1067</v>
      </c>
      <c r="F7" s="246" t="s">
        <v>1068</v>
      </c>
      <c r="G7" s="246" t="s">
        <v>1067</v>
      </c>
      <c r="H7" s="246" t="s">
        <v>1068</v>
      </c>
      <c r="I7" s="246" t="s">
        <v>1067</v>
      </c>
      <c r="J7" s="246" t="s">
        <v>1068</v>
      </c>
      <c r="K7" s="828"/>
      <c r="L7" s="828"/>
      <c r="M7" s="828"/>
    </row>
    <row r="8" spans="1:13">
      <c r="A8" s="241">
        <v>1</v>
      </c>
      <c r="B8" s="241" t="s">
        <v>831</v>
      </c>
      <c r="D8" s="241">
        <v>15690</v>
      </c>
      <c r="F8" s="241">
        <v>16762</v>
      </c>
      <c r="G8" s="241">
        <v>5004</v>
      </c>
      <c r="H8" s="241">
        <v>20610</v>
      </c>
      <c r="L8" s="241">
        <v>20610</v>
      </c>
      <c r="M8" s="241">
        <f t="shared" ref="M8:M22" si="0">L8-D8</f>
        <v>4920</v>
      </c>
    </row>
    <row r="9" spans="1:13">
      <c r="A9" s="241">
        <v>2</v>
      </c>
      <c r="B9" s="241" t="s">
        <v>917</v>
      </c>
      <c r="D9" s="241">
        <v>8672</v>
      </c>
      <c r="F9" s="241">
        <v>6190</v>
      </c>
      <c r="G9" s="241">
        <v>1598</v>
      </c>
      <c r="H9" s="241">
        <v>7367</v>
      </c>
      <c r="L9" s="254">
        <f>+H9</f>
        <v>7367</v>
      </c>
      <c r="M9" s="241">
        <f t="shared" si="0"/>
        <v>-1305</v>
      </c>
    </row>
    <row r="10" spans="1:13" s="247" customFormat="1">
      <c r="A10" s="247">
        <v>3</v>
      </c>
      <c r="B10" s="247" t="s">
        <v>918</v>
      </c>
      <c r="D10" s="247">
        <v>21561</v>
      </c>
      <c r="F10" s="247">
        <v>22058</v>
      </c>
      <c r="G10" s="247">
        <v>5989</v>
      </c>
      <c r="H10" s="247">
        <v>25961</v>
      </c>
      <c r="I10" s="247">
        <f>8332-2113</f>
        <v>6219</v>
      </c>
      <c r="J10" s="247">
        <f>29619.58-582.7</f>
        <v>29036.880000000001</v>
      </c>
      <c r="K10" s="247">
        <f>33432.74-538</f>
        <v>32894.74</v>
      </c>
      <c r="L10" s="247">
        <f t="shared" ref="L10:L17" si="1">+H10</f>
        <v>25961</v>
      </c>
      <c r="M10" s="247">
        <f t="shared" si="0"/>
        <v>4400</v>
      </c>
    </row>
    <row r="11" spans="1:13">
      <c r="A11" s="241">
        <v>4</v>
      </c>
      <c r="B11" s="241" t="s">
        <v>919</v>
      </c>
      <c r="D11" s="241">
        <v>15532</v>
      </c>
      <c r="F11" s="241">
        <v>17551</v>
      </c>
      <c r="G11" s="241">
        <v>4265</v>
      </c>
      <c r="H11" s="241">
        <v>18570</v>
      </c>
      <c r="L11" s="241">
        <f>F11</f>
        <v>17551</v>
      </c>
      <c r="M11" s="241">
        <f t="shared" si="0"/>
        <v>2019</v>
      </c>
    </row>
    <row r="12" spans="1:13">
      <c r="A12" s="241">
        <v>5</v>
      </c>
      <c r="B12" s="241" t="s">
        <v>920</v>
      </c>
      <c r="D12" s="241">
        <v>13971</v>
      </c>
      <c r="F12" s="241">
        <v>15544</v>
      </c>
      <c r="G12" s="241">
        <v>3863</v>
      </c>
      <c r="H12" s="241">
        <v>17695</v>
      </c>
      <c r="L12" s="241">
        <f>F12</f>
        <v>15544</v>
      </c>
      <c r="M12" s="241">
        <f t="shared" si="0"/>
        <v>1573</v>
      </c>
    </row>
    <row r="13" spans="1:13">
      <c r="A13" s="241">
        <v>6</v>
      </c>
      <c r="B13" s="241" t="s">
        <v>921</v>
      </c>
      <c r="D13" s="241">
        <v>21871</v>
      </c>
      <c r="F13" s="241">
        <v>24334</v>
      </c>
      <c r="G13" s="241">
        <v>5831</v>
      </c>
      <c r="H13" s="241">
        <v>25604</v>
      </c>
      <c r="L13" s="241">
        <f>F13</f>
        <v>24334</v>
      </c>
      <c r="M13" s="241">
        <f t="shared" si="0"/>
        <v>2463</v>
      </c>
    </row>
    <row r="14" spans="1:13">
      <c r="A14" s="241">
        <v>7</v>
      </c>
      <c r="B14" s="241" t="s">
        <v>922</v>
      </c>
      <c r="D14" s="241">
        <v>35529</v>
      </c>
      <c r="F14" s="241">
        <v>37875</v>
      </c>
      <c r="G14" s="241">
        <v>10631</v>
      </c>
      <c r="H14" s="241">
        <v>47012</v>
      </c>
      <c r="L14" s="241">
        <f t="shared" si="1"/>
        <v>47012</v>
      </c>
      <c r="M14" s="241">
        <f t="shared" si="0"/>
        <v>11483</v>
      </c>
    </row>
    <row r="15" spans="1:13" s="254" customFormat="1">
      <c r="A15" s="254">
        <v>8</v>
      </c>
      <c r="B15" s="254" t="s">
        <v>923</v>
      </c>
      <c r="D15" s="254">
        <v>9365</v>
      </c>
      <c r="F15" s="254">
        <v>9543</v>
      </c>
      <c r="G15" s="254">
        <v>2403</v>
      </c>
      <c r="H15" s="254">
        <v>10257</v>
      </c>
      <c r="L15" s="254">
        <f>F15</f>
        <v>9543</v>
      </c>
      <c r="M15" s="254">
        <f t="shared" si="0"/>
        <v>178</v>
      </c>
    </row>
    <row r="16" spans="1:13">
      <c r="A16" s="241">
        <v>9</v>
      </c>
      <c r="B16" s="241" t="s">
        <v>924</v>
      </c>
      <c r="D16" s="241">
        <v>31436</v>
      </c>
      <c r="F16" s="241">
        <v>34452</v>
      </c>
      <c r="G16" s="241">
        <v>10077</v>
      </c>
      <c r="H16" s="241">
        <v>46461</v>
      </c>
      <c r="L16" s="241">
        <f>F16</f>
        <v>34452</v>
      </c>
      <c r="M16" s="241">
        <f t="shared" si="0"/>
        <v>3016</v>
      </c>
    </row>
    <row r="17" spans="1:13">
      <c r="A17" s="241">
        <v>10</v>
      </c>
      <c r="B17" s="241" t="s">
        <v>925</v>
      </c>
      <c r="D17" s="241">
        <v>25249</v>
      </c>
      <c r="F17" s="241">
        <v>28833</v>
      </c>
      <c r="G17" s="241">
        <v>8985</v>
      </c>
      <c r="H17" s="241">
        <v>39608</v>
      </c>
      <c r="L17" s="241">
        <f t="shared" si="1"/>
        <v>39608</v>
      </c>
      <c r="M17" s="241">
        <f t="shared" si="0"/>
        <v>14359</v>
      </c>
    </row>
    <row r="18" spans="1:13">
      <c r="A18" s="241">
        <v>11</v>
      </c>
      <c r="B18" s="241" t="s">
        <v>926</v>
      </c>
      <c r="D18" s="241">
        <v>7450</v>
      </c>
      <c r="F18" s="241">
        <v>6400</v>
      </c>
      <c r="G18" s="241">
        <v>1533</v>
      </c>
      <c r="H18" s="241">
        <v>6642</v>
      </c>
      <c r="L18" s="254">
        <f>+H18</f>
        <v>6642</v>
      </c>
      <c r="M18" s="241">
        <f t="shared" si="0"/>
        <v>-808</v>
      </c>
    </row>
    <row r="19" spans="1:13">
      <c r="A19" s="241">
        <v>12</v>
      </c>
      <c r="B19" s="241" t="s">
        <v>927</v>
      </c>
      <c r="D19" s="241">
        <v>8839</v>
      </c>
      <c r="F19" s="241">
        <v>10496</v>
      </c>
      <c r="G19" s="241">
        <v>3370</v>
      </c>
      <c r="H19" s="241">
        <v>15408</v>
      </c>
      <c r="L19" s="241">
        <f>F19</f>
        <v>10496</v>
      </c>
      <c r="M19" s="241">
        <f t="shared" si="0"/>
        <v>1657</v>
      </c>
    </row>
    <row r="20" spans="1:13">
      <c r="A20" s="241">
        <v>13</v>
      </c>
      <c r="B20" s="241" t="s">
        <v>928</v>
      </c>
      <c r="D20" s="241">
        <v>3224</v>
      </c>
      <c r="F20" s="241">
        <v>3533</v>
      </c>
      <c r="G20" s="241">
        <v>1044</v>
      </c>
      <c r="H20" s="241">
        <v>5016</v>
      </c>
      <c r="L20" s="241">
        <f>H20</f>
        <v>5016</v>
      </c>
      <c r="M20" s="241">
        <f t="shared" si="0"/>
        <v>1792</v>
      </c>
    </row>
    <row r="21" spans="1:13">
      <c r="A21" s="241">
        <v>14</v>
      </c>
      <c r="B21" s="241" t="s">
        <v>929</v>
      </c>
      <c r="D21" s="241">
        <v>3717</v>
      </c>
      <c r="F21" s="241">
        <v>3791</v>
      </c>
      <c r="G21" s="241">
        <v>1068</v>
      </c>
      <c r="H21" s="241">
        <v>4934</v>
      </c>
      <c r="L21" s="241">
        <f>H21</f>
        <v>4934</v>
      </c>
      <c r="M21" s="241">
        <f t="shared" si="0"/>
        <v>1217</v>
      </c>
    </row>
    <row r="22" spans="1:13">
      <c r="A22" s="241">
        <v>15</v>
      </c>
      <c r="B22" s="241" t="s">
        <v>930</v>
      </c>
      <c r="D22" s="241">
        <v>4302</v>
      </c>
      <c r="F22" s="241">
        <v>4047</v>
      </c>
      <c r="G22" s="241">
        <v>1295</v>
      </c>
      <c r="H22" s="241">
        <v>5875</v>
      </c>
      <c r="L22" s="254">
        <f>D22</f>
        <v>4302</v>
      </c>
      <c r="M22" s="241">
        <f t="shared" si="0"/>
        <v>0</v>
      </c>
    </row>
    <row r="23" spans="1:13" s="243" customFormat="1" ht="14.25">
      <c r="B23" s="243" t="s">
        <v>1064</v>
      </c>
      <c r="C23" s="243">
        <f t="shared" ref="C23:M23" si="2">SUM(C8:C22)</f>
        <v>0</v>
      </c>
      <c r="D23" s="243">
        <f>SUM(D8:D22)</f>
        <v>226408</v>
      </c>
      <c r="E23" s="243">
        <f t="shared" si="2"/>
        <v>0</v>
      </c>
      <c r="F23" s="243">
        <f t="shared" si="2"/>
        <v>241409</v>
      </c>
      <c r="G23" s="243">
        <f t="shared" si="2"/>
        <v>66956</v>
      </c>
      <c r="H23" s="243">
        <f t="shared" si="2"/>
        <v>297020</v>
      </c>
      <c r="J23" s="243">
        <f t="shared" si="2"/>
        <v>29036.880000000001</v>
      </c>
      <c r="K23" s="243">
        <f t="shared" si="2"/>
        <v>32894.74</v>
      </c>
      <c r="L23" s="243">
        <f t="shared" si="2"/>
        <v>273372</v>
      </c>
      <c r="M23" s="243">
        <f t="shared" si="2"/>
        <v>46964</v>
      </c>
    </row>
    <row r="25" spans="1:13">
      <c r="A25" s="241" t="s">
        <v>1065</v>
      </c>
    </row>
    <row r="26" spans="1:13" ht="15" customHeight="1">
      <c r="A26" s="829" t="s">
        <v>3</v>
      </c>
      <c r="B26" s="829" t="s">
        <v>889</v>
      </c>
      <c r="C26" s="242"/>
      <c r="D26" s="829" t="s">
        <v>1056</v>
      </c>
      <c r="E26" s="829"/>
      <c r="F26" s="829"/>
      <c r="G26" s="829"/>
      <c r="H26" s="829"/>
      <c r="I26" s="829"/>
      <c r="J26" s="829"/>
      <c r="K26" s="829"/>
    </row>
    <row r="27" spans="1:13" ht="30">
      <c r="A27" s="829"/>
      <c r="B27" s="829"/>
      <c r="C27" s="242"/>
      <c r="D27" s="244" t="s">
        <v>1066</v>
      </c>
      <c r="E27" s="244"/>
    </row>
    <row r="28" spans="1:13">
      <c r="A28" s="242"/>
      <c r="B28" s="242"/>
      <c r="C28" s="242"/>
      <c r="D28" s="244"/>
      <c r="E28" s="244"/>
    </row>
    <row r="29" spans="1:13">
      <c r="A29" s="241">
        <v>1</v>
      </c>
      <c r="B29" s="241" t="s">
        <v>831</v>
      </c>
      <c r="D29" s="241">
        <v>15690</v>
      </c>
    </row>
    <row r="30" spans="1:13">
      <c r="A30" s="241">
        <v>2</v>
      </c>
      <c r="B30" s="241" t="s">
        <v>917</v>
      </c>
      <c r="D30" s="241">
        <v>8672</v>
      </c>
    </row>
    <row r="31" spans="1:13">
      <c r="A31" s="241">
        <v>3</v>
      </c>
      <c r="B31" s="241" t="s">
        <v>918</v>
      </c>
      <c r="D31" s="241">
        <v>21561</v>
      </c>
    </row>
    <row r="32" spans="1:13">
      <c r="A32" s="241">
        <v>4</v>
      </c>
      <c r="B32" s="241" t="s">
        <v>919</v>
      </c>
      <c r="D32" s="241">
        <v>15532</v>
      </c>
    </row>
    <row r="33" spans="1:5">
      <c r="A33" s="241">
        <v>5</v>
      </c>
      <c r="B33" s="241" t="s">
        <v>920</v>
      </c>
      <c r="D33" s="241">
        <v>13971</v>
      </c>
    </row>
    <row r="34" spans="1:5">
      <c r="A34" s="241">
        <v>6</v>
      </c>
      <c r="B34" s="241" t="s">
        <v>921</v>
      </c>
      <c r="D34" s="241">
        <v>21871</v>
      </c>
    </row>
    <row r="35" spans="1:5">
      <c r="A35" s="241">
        <v>7</v>
      </c>
      <c r="B35" s="241" t="s">
        <v>922</v>
      </c>
      <c r="D35" s="241">
        <v>35529</v>
      </c>
    </row>
    <row r="36" spans="1:5">
      <c r="A36" s="241">
        <v>8</v>
      </c>
      <c r="B36" s="241" t="s">
        <v>923</v>
      </c>
      <c r="D36" s="241">
        <v>9365</v>
      </c>
    </row>
    <row r="37" spans="1:5">
      <c r="A37" s="241">
        <v>9</v>
      </c>
      <c r="B37" s="241" t="s">
        <v>924</v>
      </c>
      <c r="D37" s="241">
        <v>31436</v>
      </c>
    </row>
    <row r="38" spans="1:5">
      <c r="A38" s="241">
        <v>10</v>
      </c>
      <c r="B38" s="241" t="s">
        <v>925</v>
      </c>
      <c r="D38" s="241">
        <v>25249</v>
      </c>
    </row>
    <row r="39" spans="1:5">
      <c r="A39" s="241">
        <v>11</v>
      </c>
      <c r="B39" s="241" t="s">
        <v>926</v>
      </c>
      <c r="D39" s="241">
        <v>7450</v>
      </c>
    </row>
    <row r="40" spans="1:5">
      <c r="A40" s="241">
        <v>12</v>
      </c>
      <c r="B40" s="241" t="s">
        <v>927</v>
      </c>
      <c r="D40" s="241">
        <v>8839</v>
      </c>
    </row>
    <row r="41" spans="1:5">
      <c r="A41" s="241">
        <v>13</v>
      </c>
      <c r="B41" s="241" t="s">
        <v>928</v>
      </c>
      <c r="D41" s="241">
        <v>3224</v>
      </c>
    </row>
    <row r="42" spans="1:5">
      <c r="A42" s="241">
        <v>14</v>
      </c>
      <c r="B42" s="241" t="s">
        <v>929</v>
      </c>
      <c r="D42" s="241">
        <v>3717</v>
      </c>
    </row>
    <row r="43" spans="1:5">
      <c r="A43" s="241">
        <v>15</v>
      </c>
      <c r="B43" s="241" t="s">
        <v>930</v>
      </c>
      <c r="D43" s="241">
        <v>4302</v>
      </c>
    </row>
    <row r="44" spans="1:5">
      <c r="A44" s="243"/>
      <c r="B44" s="243" t="s">
        <v>1064</v>
      </c>
      <c r="C44" s="243"/>
      <c r="D44" s="243">
        <f>SUM(D29:D43)</f>
        <v>226408</v>
      </c>
      <c r="E44" s="243"/>
    </row>
  </sheetData>
  <customSheetViews>
    <customSheetView guid="{9F606621-8853-4836-9A7E-DBA5CF152671}" hiddenColumns="1" topLeftCell="A13">
      <selection activeCell="H9" sqref="H9"/>
      <pageMargins left="0.7" right="0.7" top="0.75" bottom="0.75" header="0.3" footer="0.3"/>
      <pageSetup orientation="portrait" r:id="rId1"/>
    </customSheetView>
    <customSheetView guid="{DB9039ED-C6EA-422D-9A5D-D152D95EDC67}" hiddenColumns="1">
      <selection activeCell="H9" sqref="H9"/>
      <pageMargins left="0.7" right="0.7" top="0.75" bottom="0.75" header="0.3" footer="0.3"/>
      <pageSetup orientation="portrait" r:id="rId2"/>
    </customSheetView>
  </customSheetViews>
  <mergeCells count="14">
    <mergeCell ref="M6:M7"/>
    <mergeCell ref="A26:A27"/>
    <mergeCell ref="B26:B27"/>
    <mergeCell ref="D26:K26"/>
    <mergeCell ref="C5:D6"/>
    <mergeCell ref="E5:F6"/>
    <mergeCell ref="G5:J5"/>
    <mergeCell ref="G6:H6"/>
    <mergeCell ref="I6:J6"/>
    <mergeCell ref="A5:A7"/>
    <mergeCell ref="K5:M5"/>
    <mergeCell ref="B5:B7"/>
    <mergeCell ref="K6:K7"/>
    <mergeCell ref="L6:L7"/>
  </mergeCell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dimension ref="A1:B14"/>
  <sheetViews>
    <sheetView workbookViewId="0"/>
  </sheetViews>
  <sheetFormatPr defaultRowHeight="15"/>
  <cols>
    <col min="2" max="2" width="67.7109375" customWidth="1"/>
  </cols>
  <sheetData>
    <row r="1" spans="1:2">
      <c r="A1" t="s">
        <v>1091</v>
      </c>
    </row>
    <row r="2" spans="1:2">
      <c r="A2" t="s">
        <v>1094</v>
      </c>
      <c r="B2" t="s">
        <v>1095</v>
      </c>
    </row>
    <row r="5" spans="1:2">
      <c r="A5" t="s">
        <v>1089</v>
      </c>
    </row>
    <row r="6" spans="1:2">
      <c r="A6" t="s">
        <v>1093</v>
      </c>
      <c r="B6" t="s">
        <v>1103</v>
      </c>
    </row>
    <row r="7" spans="1:2">
      <c r="B7" t="s">
        <v>1096</v>
      </c>
    </row>
    <row r="9" spans="1:2">
      <c r="A9" t="s">
        <v>1087</v>
      </c>
    </row>
    <row r="10" spans="1:2">
      <c r="B10" t="s">
        <v>1088</v>
      </c>
    </row>
    <row r="11" spans="1:2">
      <c r="B11" t="s">
        <v>1090</v>
      </c>
    </row>
    <row r="12" spans="1:2">
      <c r="A12" t="s">
        <v>1092</v>
      </c>
    </row>
    <row r="13" spans="1:2">
      <c r="B13" t="s">
        <v>1099</v>
      </c>
    </row>
    <row r="14" spans="1:2">
      <c r="A14" t="s">
        <v>1097</v>
      </c>
      <c r="B14" t="s">
        <v>1098</v>
      </c>
    </row>
  </sheetData>
  <customSheetViews>
    <customSheetView guid="{9F606621-8853-4836-9A7E-DBA5CF152671}">
      <pageMargins left="0.7" right="0.7" top="0.75" bottom="0.75" header="0.3" footer="0.3"/>
    </customSheetView>
    <customSheetView guid="{DB9039ED-C6EA-422D-9A5D-D152D95EDC67}">
      <pageMargins left="0.7" right="0.7" top="0.75" bottom="0.75" header="0.3" footer="0.3"/>
    </customSheetView>
  </customSheetViews>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U22"/>
  <sheetViews>
    <sheetView workbookViewId="0">
      <selection activeCell="B20" sqref="B20"/>
    </sheetView>
  </sheetViews>
  <sheetFormatPr defaultColWidth="8.85546875" defaultRowHeight="15"/>
  <cols>
    <col min="1" max="1" width="32.28515625" style="195" customWidth="1"/>
    <col min="2" max="2" width="11.28515625" style="351" customWidth="1"/>
    <col min="3" max="3" width="9" style="352" customWidth="1"/>
    <col min="4" max="4" width="11.28515625" style="428" customWidth="1"/>
    <col min="5" max="5" width="9" style="354" customWidth="1"/>
    <col min="6" max="6" width="11.28515625" style="351" customWidth="1"/>
    <col min="7" max="9" width="8.85546875" style="195" customWidth="1"/>
    <col min="10" max="10" width="14" style="353" customWidth="1"/>
    <col min="11" max="11" width="13.140625" style="353" customWidth="1"/>
    <col min="12" max="12" width="14.5703125" style="353" customWidth="1"/>
    <col min="13" max="13" width="16" style="353" customWidth="1"/>
    <col min="14" max="19" width="8.85546875" style="195"/>
    <col min="20" max="20" width="10.28515625" style="195" customWidth="1"/>
    <col min="21" max="21" width="12.28515625" style="195" customWidth="1"/>
    <col min="22" max="16384" width="8.85546875" style="195"/>
  </cols>
  <sheetData>
    <row r="1" spans="1:21">
      <c r="J1" s="357" t="s">
        <v>1187</v>
      </c>
    </row>
    <row r="2" spans="1:21">
      <c r="E2" s="830" t="s">
        <v>1060</v>
      </c>
      <c r="F2" s="830"/>
    </row>
    <row r="3" spans="1:21">
      <c r="E3" s="358"/>
      <c r="F3" s="358"/>
      <c r="J3" s="831" t="s">
        <v>1060</v>
      </c>
      <c r="K3" s="831"/>
      <c r="L3" s="831"/>
      <c r="M3" s="831"/>
      <c r="N3" s="832" t="s">
        <v>1264</v>
      </c>
      <c r="O3" s="832"/>
      <c r="P3" s="832"/>
      <c r="Q3" s="832"/>
      <c r="R3" s="832" t="s">
        <v>1265</v>
      </c>
      <c r="S3" s="832"/>
      <c r="T3" s="832"/>
      <c r="U3" s="832"/>
    </row>
    <row r="4" spans="1:21" s="356" customFormat="1" ht="46.9" customHeight="1">
      <c r="A4" s="359" t="s">
        <v>1067</v>
      </c>
      <c r="B4" s="360" t="s">
        <v>1147</v>
      </c>
      <c r="C4" s="361" t="s">
        <v>1148</v>
      </c>
      <c r="D4" s="429" t="s">
        <v>1149</v>
      </c>
      <c r="E4" s="362" t="s">
        <v>1150</v>
      </c>
      <c r="F4" s="360" t="s">
        <v>1151</v>
      </c>
      <c r="G4" s="360" t="s">
        <v>1167</v>
      </c>
      <c r="H4" s="359"/>
      <c r="I4" s="359"/>
      <c r="J4" s="363" t="s">
        <v>1147</v>
      </c>
      <c r="K4" s="364" t="s">
        <v>1191</v>
      </c>
      <c r="L4" s="364" t="s">
        <v>1189</v>
      </c>
      <c r="M4" s="364" t="s">
        <v>1190</v>
      </c>
      <c r="N4" s="363" t="s">
        <v>1147</v>
      </c>
      <c r="O4" s="364" t="s">
        <v>1191</v>
      </c>
      <c r="P4" s="364" t="s">
        <v>1189</v>
      </c>
      <c r="Q4" s="364" t="s">
        <v>1190</v>
      </c>
      <c r="R4" s="363" t="s">
        <v>1147</v>
      </c>
      <c r="S4" s="364" t="s">
        <v>1191</v>
      </c>
      <c r="T4" s="364" t="s">
        <v>1189</v>
      </c>
      <c r="U4" s="364" t="s">
        <v>1190</v>
      </c>
    </row>
    <row r="5" spans="1:21" ht="18" customHeight="1">
      <c r="A5" s="370" t="s">
        <v>1193</v>
      </c>
      <c r="B5" s="371">
        <v>215531</v>
      </c>
      <c r="C5" s="372">
        <f>1.21*0.045*6+1.3*0.045*6</f>
        <v>0.67769999999999997</v>
      </c>
      <c r="D5" s="430">
        <f>C5*B5*0.3</f>
        <v>43819.607609999992</v>
      </c>
      <c r="E5" s="373">
        <f>1.3*0.045*6+1.3*0.045*6</f>
        <v>0.70199999999999996</v>
      </c>
      <c r="F5" s="371">
        <f>B5*E5*0.3</f>
        <v>45390.828599999993</v>
      </c>
      <c r="G5" s="371">
        <f>0.09*0.045*6*B5*0.3</f>
        <v>1571.22099</v>
      </c>
      <c r="H5" s="370"/>
      <c r="I5" s="370"/>
      <c r="J5" s="374">
        <v>221459</v>
      </c>
      <c r="K5" s="371">
        <f>(1.3*0.045*6+1.3*0.045*6)*1000000</f>
        <v>702000</v>
      </c>
      <c r="L5" s="374">
        <f>K5*J5/1000000</f>
        <v>155464.21799999999</v>
      </c>
      <c r="M5" s="374">
        <f>+L5*0.3</f>
        <v>46639.265399999997</v>
      </c>
      <c r="N5" s="374">
        <v>221459</v>
      </c>
      <c r="O5" s="371">
        <f>(1.39*0.045*6+1.39*0.045*6)*1000000</f>
        <v>750599.99999999988</v>
      </c>
      <c r="P5" s="374">
        <f>O5*N5/1000000</f>
        <v>166227.12539999996</v>
      </c>
      <c r="Q5" s="374">
        <f>+P5*0.3</f>
        <v>49868.137619999987</v>
      </c>
      <c r="R5" s="374">
        <v>221459</v>
      </c>
      <c r="S5" s="371">
        <f>(1.5*0.045*6+1.5*0.045*6)*1000000</f>
        <v>810000</v>
      </c>
      <c r="T5" s="374">
        <f>S5*R5/1000000</f>
        <v>179381.79</v>
      </c>
      <c r="U5" s="374">
        <f>+T5*0.3</f>
        <v>53814.537000000004</v>
      </c>
    </row>
    <row r="6" spans="1:21" ht="18" customHeight="1">
      <c r="A6" s="375" t="s">
        <v>1142</v>
      </c>
      <c r="B6" s="376">
        <v>24</v>
      </c>
      <c r="C6" s="377">
        <f>1.21*0.045*6+1.3*0.045*6</f>
        <v>0.67769999999999997</v>
      </c>
      <c r="D6" s="431">
        <f>C6*B6</f>
        <v>16.264800000000001</v>
      </c>
      <c r="E6" s="378">
        <f>1.3*0.045*6+1.3*0.045*6</f>
        <v>0.70199999999999996</v>
      </c>
      <c r="F6" s="376">
        <f>B6*E6</f>
        <v>16.847999999999999</v>
      </c>
      <c r="G6" s="376">
        <f>0.09*0.045*6*B6</f>
        <v>0.58319999999999994</v>
      </c>
      <c r="H6" s="375"/>
      <c r="I6" s="375"/>
      <c r="J6" s="379">
        <v>25</v>
      </c>
      <c r="K6" s="376">
        <f t="shared" ref="K6:K13" si="0">(1.3*0.045*6+1.3*0.045*6)*1000000</f>
        <v>702000</v>
      </c>
      <c r="L6" s="379">
        <f t="shared" ref="L6:L13" si="1">K6*J6/1000000</f>
        <v>17.55</v>
      </c>
      <c r="M6" s="379">
        <f>+L6*1</f>
        <v>17.55</v>
      </c>
      <c r="N6" s="379">
        <v>25</v>
      </c>
      <c r="O6" s="376">
        <f t="shared" ref="O6:O13" si="2">(1.39*0.045*6+1.39*0.045*6)*1000000</f>
        <v>750599.99999999988</v>
      </c>
      <c r="P6" s="379">
        <f t="shared" ref="P6:P13" si="3">O6*N6/1000000</f>
        <v>18.764999999999997</v>
      </c>
      <c r="Q6" s="379">
        <f>+P6*1</f>
        <v>18.764999999999997</v>
      </c>
      <c r="R6" s="379">
        <v>25</v>
      </c>
      <c r="S6" s="376">
        <f t="shared" ref="S6:S13" si="4">(1.5*0.045*6+1.5*0.045*6)*1000000</f>
        <v>810000</v>
      </c>
      <c r="T6" s="379">
        <f t="shared" ref="T6:T13" si="5">S6*R6/1000000</f>
        <v>20.25</v>
      </c>
      <c r="U6" s="379">
        <f>+T6*1</f>
        <v>20.25</v>
      </c>
    </row>
    <row r="7" spans="1:21" ht="18" customHeight="1">
      <c r="A7" s="375" t="s">
        <v>1143</v>
      </c>
      <c r="B7" s="376">
        <f>159493+1871</f>
        <v>161364</v>
      </c>
      <c r="C7" s="377">
        <f t="shared" ref="C7:C16" si="6">1.21*0.045*6+1.3*0.045*6</f>
        <v>0.67769999999999997</v>
      </c>
      <c r="D7" s="431">
        <f t="shared" ref="D7:D14" si="7">C7*B7</f>
        <v>109356.38279999999</v>
      </c>
      <c r="E7" s="378">
        <f t="shared" ref="E7:E16" si="8">1.3*0.045*6+1.3*0.045*6</f>
        <v>0.70199999999999996</v>
      </c>
      <c r="F7" s="376">
        <f t="shared" ref="F7:F16" si="9">B7*E7</f>
        <v>113277.52799999999</v>
      </c>
      <c r="G7" s="376">
        <f>0.09*0.045*6*B7</f>
        <v>3921.1451999999999</v>
      </c>
      <c r="H7" s="375"/>
      <c r="I7" s="375"/>
      <c r="J7" s="379">
        <v>167842</v>
      </c>
      <c r="K7" s="376">
        <f t="shared" si="0"/>
        <v>702000</v>
      </c>
      <c r="L7" s="379">
        <f t="shared" si="1"/>
        <v>117825.084</v>
      </c>
      <c r="M7" s="379">
        <f t="shared" ref="M7:M16" si="10">+L7*1</f>
        <v>117825.084</v>
      </c>
      <c r="N7" s="379">
        <v>167842</v>
      </c>
      <c r="O7" s="376">
        <f t="shared" si="2"/>
        <v>750599.99999999988</v>
      </c>
      <c r="P7" s="379">
        <f t="shared" si="3"/>
        <v>125982.20519999998</v>
      </c>
      <c r="Q7" s="379">
        <f t="shared" ref="Q7:Q14" si="11">+P7*1</f>
        <v>125982.20519999998</v>
      </c>
      <c r="R7" s="379">
        <v>167842</v>
      </c>
      <c r="S7" s="376">
        <f t="shared" si="4"/>
        <v>810000</v>
      </c>
      <c r="T7" s="379">
        <f t="shared" si="5"/>
        <v>135952.01999999999</v>
      </c>
      <c r="U7" s="379">
        <f t="shared" ref="U7:U14" si="12">+T7*1</f>
        <v>135952.01999999999</v>
      </c>
    </row>
    <row r="8" spans="1:21" ht="18" customHeight="1">
      <c r="A8" s="375" t="s">
        <v>1144</v>
      </c>
      <c r="B8" s="376">
        <f>+B9+B10</f>
        <v>46701</v>
      </c>
      <c r="C8" s="377">
        <f t="shared" si="6"/>
        <v>0.67769999999999997</v>
      </c>
      <c r="D8" s="431">
        <f t="shared" si="7"/>
        <v>31649.2677</v>
      </c>
      <c r="E8" s="378">
        <f t="shared" si="8"/>
        <v>0.70199999999999996</v>
      </c>
      <c r="F8" s="376">
        <f t="shared" si="9"/>
        <v>32784.101999999999</v>
      </c>
      <c r="G8" s="376">
        <f t="shared" ref="G8:G16" si="13">0.09*0.045*6*B8</f>
        <v>1134.8343</v>
      </c>
      <c r="H8" s="375"/>
      <c r="I8" s="375"/>
      <c r="J8" s="379">
        <f>+J9+J10</f>
        <v>46300</v>
      </c>
      <c r="K8" s="376">
        <f t="shared" si="0"/>
        <v>702000</v>
      </c>
      <c r="L8" s="379">
        <f t="shared" si="1"/>
        <v>32502.6</v>
      </c>
      <c r="M8" s="379">
        <f t="shared" si="10"/>
        <v>32502.6</v>
      </c>
      <c r="N8" s="379">
        <f>+N9+N10</f>
        <v>46300</v>
      </c>
      <c r="O8" s="376">
        <f t="shared" si="2"/>
        <v>750599.99999999988</v>
      </c>
      <c r="P8" s="379">
        <f t="shared" si="3"/>
        <v>34752.779999999992</v>
      </c>
      <c r="Q8" s="379">
        <f t="shared" si="11"/>
        <v>34752.779999999992</v>
      </c>
      <c r="R8" s="379">
        <f>+R9+R10</f>
        <v>46300</v>
      </c>
      <c r="S8" s="376">
        <f t="shared" si="4"/>
        <v>810000</v>
      </c>
      <c r="T8" s="379">
        <f t="shared" si="5"/>
        <v>37503</v>
      </c>
      <c r="U8" s="379">
        <f t="shared" si="12"/>
        <v>37503</v>
      </c>
    </row>
    <row r="9" spans="1:21" ht="18" customHeight="1">
      <c r="A9" s="375" t="s">
        <v>1192</v>
      </c>
      <c r="B9" s="376">
        <v>15433</v>
      </c>
      <c r="C9" s="377">
        <f t="shared" si="6"/>
        <v>0.67769999999999997</v>
      </c>
      <c r="D9" s="431">
        <f t="shared" si="7"/>
        <v>10458.944099999999</v>
      </c>
      <c r="E9" s="378">
        <f t="shared" si="8"/>
        <v>0.70199999999999996</v>
      </c>
      <c r="F9" s="376">
        <f t="shared" si="9"/>
        <v>10833.965999999999</v>
      </c>
      <c r="G9" s="376">
        <f t="shared" si="13"/>
        <v>375.02189999999996</v>
      </c>
      <c r="H9" s="375"/>
      <c r="I9" s="375"/>
      <c r="J9" s="379">
        <v>15300</v>
      </c>
      <c r="K9" s="376">
        <f t="shared" si="0"/>
        <v>702000</v>
      </c>
      <c r="L9" s="379">
        <f t="shared" si="1"/>
        <v>10740.6</v>
      </c>
      <c r="M9" s="379">
        <f t="shared" si="10"/>
        <v>10740.6</v>
      </c>
      <c r="N9" s="379">
        <v>15300</v>
      </c>
      <c r="O9" s="376">
        <f t="shared" si="2"/>
        <v>750599.99999999988</v>
      </c>
      <c r="P9" s="379">
        <f t="shared" si="3"/>
        <v>11484.179999999998</v>
      </c>
      <c r="Q9" s="379">
        <f t="shared" si="11"/>
        <v>11484.179999999998</v>
      </c>
      <c r="R9" s="379">
        <v>15300</v>
      </c>
      <c r="S9" s="376">
        <f t="shared" si="4"/>
        <v>810000</v>
      </c>
      <c r="T9" s="379">
        <f t="shared" si="5"/>
        <v>12393</v>
      </c>
      <c r="U9" s="379">
        <f t="shared" si="12"/>
        <v>12393</v>
      </c>
    </row>
    <row r="10" spans="1:21" ht="18" customHeight="1">
      <c r="A10" s="375" t="s">
        <v>1145</v>
      </c>
      <c r="B10" s="376">
        <v>31268</v>
      </c>
      <c r="C10" s="377">
        <f>1.21*0.045*6+1.21*0.045*6</f>
        <v>0.65339999999999998</v>
      </c>
      <c r="D10" s="431">
        <f t="shared" si="7"/>
        <v>20430.511200000001</v>
      </c>
      <c r="E10" s="378">
        <f t="shared" si="8"/>
        <v>0.70199999999999996</v>
      </c>
      <c r="F10" s="376">
        <f t="shared" si="9"/>
        <v>21950.135999999999</v>
      </c>
      <c r="G10" s="376">
        <f t="shared" si="13"/>
        <v>759.81239999999991</v>
      </c>
      <c r="H10" s="375"/>
      <c r="I10" s="375"/>
      <c r="J10" s="379">
        <v>31000</v>
      </c>
      <c r="K10" s="376">
        <f t="shared" si="0"/>
        <v>702000</v>
      </c>
      <c r="L10" s="379">
        <f t="shared" si="1"/>
        <v>21762</v>
      </c>
      <c r="M10" s="379">
        <f t="shared" si="10"/>
        <v>21762</v>
      </c>
      <c r="N10" s="379">
        <v>31000</v>
      </c>
      <c r="O10" s="376">
        <f t="shared" si="2"/>
        <v>750599.99999999988</v>
      </c>
      <c r="P10" s="379">
        <f t="shared" si="3"/>
        <v>23268.599999999995</v>
      </c>
      <c r="Q10" s="379">
        <f t="shared" si="11"/>
        <v>23268.599999999995</v>
      </c>
      <c r="R10" s="379">
        <v>31000</v>
      </c>
      <c r="S10" s="376">
        <f t="shared" si="4"/>
        <v>810000</v>
      </c>
      <c r="T10" s="379">
        <f t="shared" si="5"/>
        <v>25110</v>
      </c>
      <c r="U10" s="379">
        <f t="shared" si="12"/>
        <v>25110</v>
      </c>
    </row>
    <row r="11" spans="1:21" ht="18" customHeight="1">
      <c r="A11" s="375" t="s">
        <v>1146</v>
      </c>
      <c r="B11" s="376">
        <v>33865</v>
      </c>
      <c r="C11" s="377">
        <f t="shared" si="6"/>
        <v>0.67769999999999997</v>
      </c>
      <c r="D11" s="431">
        <f t="shared" si="7"/>
        <v>22950.3105</v>
      </c>
      <c r="E11" s="378">
        <f t="shared" si="8"/>
        <v>0.70199999999999996</v>
      </c>
      <c r="F11" s="376">
        <f t="shared" si="9"/>
        <v>23773.23</v>
      </c>
      <c r="G11" s="376">
        <f t="shared" si="13"/>
        <v>822.91949999999997</v>
      </c>
      <c r="H11" s="375"/>
      <c r="I11" s="375"/>
      <c r="J11" s="379">
        <v>33800</v>
      </c>
      <c r="K11" s="376">
        <f t="shared" si="0"/>
        <v>702000</v>
      </c>
      <c r="L11" s="379">
        <f t="shared" si="1"/>
        <v>23727.599999999999</v>
      </c>
      <c r="M11" s="379">
        <f t="shared" si="10"/>
        <v>23727.599999999999</v>
      </c>
      <c r="N11" s="379">
        <v>33800</v>
      </c>
      <c r="O11" s="376">
        <f t="shared" si="2"/>
        <v>750599.99999999988</v>
      </c>
      <c r="P11" s="379">
        <f t="shared" si="3"/>
        <v>25370.279999999995</v>
      </c>
      <c r="Q11" s="379">
        <f t="shared" si="11"/>
        <v>25370.279999999995</v>
      </c>
      <c r="R11" s="379">
        <v>33800</v>
      </c>
      <c r="S11" s="376">
        <f t="shared" si="4"/>
        <v>810000</v>
      </c>
      <c r="T11" s="379">
        <f t="shared" si="5"/>
        <v>27378</v>
      </c>
      <c r="U11" s="379">
        <f t="shared" si="12"/>
        <v>27378</v>
      </c>
    </row>
    <row r="12" spans="1:21" ht="18" customHeight="1">
      <c r="A12" s="375" t="s">
        <v>1194</v>
      </c>
      <c r="B12" s="376">
        <v>44899</v>
      </c>
      <c r="C12" s="377">
        <f t="shared" si="6"/>
        <v>0.67769999999999997</v>
      </c>
      <c r="D12" s="431">
        <f t="shared" si="7"/>
        <v>30428.052299999999</v>
      </c>
      <c r="E12" s="378">
        <f t="shared" si="8"/>
        <v>0.70199999999999996</v>
      </c>
      <c r="F12" s="376">
        <f t="shared" si="9"/>
        <v>31519.097999999998</v>
      </c>
      <c r="G12" s="376">
        <f t="shared" si="13"/>
        <v>1091.0456999999999</v>
      </c>
      <c r="H12" s="375"/>
      <c r="I12" s="375"/>
      <c r="J12" s="379">
        <v>54465</v>
      </c>
      <c r="K12" s="376">
        <f t="shared" si="0"/>
        <v>702000</v>
      </c>
      <c r="L12" s="379">
        <f t="shared" si="1"/>
        <v>38234.43</v>
      </c>
      <c r="M12" s="379">
        <f t="shared" si="10"/>
        <v>38234.43</v>
      </c>
      <c r="N12" s="379">
        <v>54465</v>
      </c>
      <c r="O12" s="376">
        <f t="shared" si="2"/>
        <v>750599.99999999988</v>
      </c>
      <c r="P12" s="379">
        <f t="shared" si="3"/>
        <v>40881.428999999989</v>
      </c>
      <c r="Q12" s="379">
        <f t="shared" si="11"/>
        <v>40881.428999999989</v>
      </c>
      <c r="R12" s="379">
        <v>54465</v>
      </c>
      <c r="S12" s="376">
        <f t="shared" si="4"/>
        <v>810000</v>
      </c>
      <c r="T12" s="379">
        <f t="shared" si="5"/>
        <v>44116.65</v>
      </c>
      <c r="U12" s="379">
        <f t="shared" si="12"/>
        <v>44116.65</v>
      </c>
    </row>
    <row r="13" spans="1:21" ht="34.15" customHeight="1">
      <c r="A13" s="386" t="s">
        <v>1195</v>
      </c>
      <c r="B13" s="376">
        <v>5547</v>
      </c>
      <c r="C13" s="377">
        <f t="shared" si="6"/>
        <v>0.67769999999999997</v>
      </c>
      <c r="D13" s="431">
        <f t="shared" si="7"/>
        <v>3759.2019</v>
      </c>
      <c r="E13" s="378">
        <f t="shared" si="8"/>
        <v>0.70199999999999996</v>
      </c>
      <c r="F13" s="376">
        <f t="shared" si="9"/>
        <v>3893.9939999999997</v>
      </c>
      <c r="G13" s="376">
        <f t="shared" si="13"/>
        <v>134.7921</v>
      </c>
      <c r="H13" s="375"/>
      <c r="I13" s="375"/>
      <c r="J13" s="379">
        <v>5550</v>
      </c>
      <c r="K13" s="376">
        <f t="shared" si="0"/>
        <v>702000</v>
      </c>
      <c r="L13" s="379">
        <f t="shared" si="1"/>
        <v>3896.1</v>
      </c>
      <c r="M13" s="379">
        <f t="shared" si="10"/>
        <v>3896.1</v>
      </c>
      <c r="N13" s="379">
        <v>5550</v>
      </c>
      <c r="O13" s="376">
        <f t="shared" si="2"/>
        <v>750599.99999999988</v>
      </c>
      <c r="P13" s="379">
        <f t="shared" si="3"/>
        <v>4165.83</v>
      </c>
      <c r="Q13" s="379">
        <f t="shared" si="11"/>
        <v>4165.83</v>
      </c>
      <c r="R13" s="379">
        <v>5550</v>
      </c>
      <c r="S13" s="376">
        <f t="shared" si="4"/>
        <v>810000</v>
      </c>
      <c r="T13" s="379">
        <f t="shared" si="5"/>
        <v>4495.5</v>
      </c>
      <c r="U13" s="379">
        <f t="shared" si="12"/>
        <v>4495.5</v>
      </c>
    </row>
    <row r="14" spans="1:21" ht="18" customHeight="1">
      <c r="A14" s="375" t="s">
        <v>1196</v>
      </c>
      <c r="B14" s="381">
        <f>84341-B13</f>
        <v>78794</v>
      </c>
      <c r="C14" s="382">
        <f>1.21*0.045*6</f>
        <v>0.32669999999999999</v>
      </c>
      <c r="D14" s="432">
        <f t="shared" si="7"/>
        <v>25741.999799999998</v>
      </c>
      <c r="E14" s="383"/>
      <c r="F14" s="381">
        <f t="shared" si="9"/>
        <v>0</v>
      </c>
      <c r="G14" s="381"/>
      <c r="H14" s="380"/>
      <c r="I14" s="380"/>
      <c r="J14" s="384"/>
      <c r="K14" s="381"/>
      <c r="L14" s="384">
        <f t="shared" ref="L14:L16" si="14">K14*J14</f>
        <v>0</v>
      </c>
      <c r="M14" s="384">
        <f t="shared" si="10"/>
        <v>0</v>
      </c>
      <c r="N14" s="384"/>
      <c r="O14" s="381"/>
      <c r="P14" s="384">
        <f t="shared" ref="P14" si="15">O14*N14</f>
        <v>0</v>
      </c>
      <c r="Q14" s="384">
        <f t="shared" si="11"/>
        <v>0</v>
      </c>
      <c r="R14" s="384"/>
      <c r="S14" s="381"/>
      <c r="T14" s="384">
        <f t="shared" ref="T14" si="16">S14*R14</f>
        <v>0</v>
      </c>
      <c r="U14" s="384">
        <f t="shared" si="12"/>
        <v>0</v>
      </c>
    </row>
    <row r="15" spans="1:21" s="314" customFormat="1" ht="22.15" customHeight="1">
      <c r="A15" s="365" t="s">
        <v>1186</v>
      </c>
      <c r="B15" s="366"/>
      <c r="C15" s="367"/>
      <c r="D15" s="433"/>
      <c r="E15" s="368"/>
      <c r="F15" s="366"/>
      <c r="G15" s="366"/>
      <c r="H15" s="365"/>
      <c r="I15" s="365"/>
      <c r="J15" s="369">
        <f>SUM(J5:J14)-J8</f>
        <v>529441</v>
      </c>
      <c r="K15" s="369"/>
      <c r="L15" s="369">
        <f t="shared" ref="L15:M15" si="17">SUM(L5:L14)-L8</f>
        <v>371667.58199999988</v>
      </c>
      <c r="M15" s="369">
        <f t="shared" si="17"/>
        <v>262842.62940000003</v>
      </c>
      <c r="N15" s="369">
        <f>SUM(N5:N14)-N8</f>
        <v>529441</v>
      </c>
      <c r="O15" s="369"/>
      <c r="P15" s="369">
        <f t="shared" ref="P15:Q15" si="18">SUM(P5:P14)-P8</f>
        <v>397398.4145999999</v>
      </c>
      <c r="Q15" s="399">
        <f t="shared" si="18"/>
        <v>281039.42681999999</v>
      </c>
      <c r="R15" s="369">
        <f>SUM(R5:R14)-R8</f>
        <v>529441</v>
      </c>
      <c r="S15" s="369"/>
      <c r="T15" s="369">
        <f t="shared" ref="T15:U15" si="19">SUM(T5:T14)-T8</f>
        <v>428847.21</v>
      </c>
      <c r="U15" s="399">
        <f t="shared" si="19"/>
        <v>303279.95700000005</v>
      </c>
    </row>
    <row r="16" spans="1:21" s="398" customFormat="1" ht="31.9" customHeight="1">
      <c r="A16" s="392" t="s">
        <v>1152</v>
      </c>
      <c r="B16" s="393">
        <v>1294</v>
      </c>
      <c r="C16" s="394">
        <f t="shared" si="6"/>
        <v>0.67769999999999997</v>
      </c>
      <c r="D16" s="434">
        <f>C16*B16</f>
        <v>876.94380000000001</v>
      </c>
      <c r="E16" s="395">
        <f t="shared" si="8"/>
        <v>0.70199999999999996</v>
      </c>
      <c r="F16" s="393">
        <f t="shared" si="9"/>
        <v>908.38799999999992</v>
      </c>
      <c r="G16" s="393">
        <f t="shared" si="13"/>
        <v>31.444199999999999</v>
      </c>
      <c r="H16" s="392"/>
      <c r="I16" s="392"/>
      <c r="J16" s="396">
        <v>1294</v>
      </c>
      <c r="K16" s="395">
        <f t="shared" ref="K16" si="20">(1.3*0.045*6+1.3*0.045*6)</f>
        <v>0.70199999999999996</v>
      </c>
      <c r="L16" s="396">
        <f t="shared" si="14"/>
        <v>908.38799999999992</v>
      </c>
      <c r="M16" s="396">
        <f t="shared" si="10"/>
        <v>908.38799999999992</v>
      </c>
      <c r="N16" s="396">
        <v>1294</v>
      </c>
      <c r="O16" s="397">
        <f t="shared" ref="O16" si="21">(1.39*0.045*6+1.39*0.045*6)*1000000</f>
        <v>750599.99999999988</v>
      </c>
      <c r="P16" s="396">
        <f>O16*N16/1000000</f>
        <v>971.27639999999985</v>
      </c>
      <c r="Q16" s="396">
        <f t="shared" ref="Q16" si="22">+P16*1</f>
        <v>971.27639999999985</v>
      </c>
      <c r="R16" s="396">
        <v>1294</v>
      </c>
      <c r="S16" s="397">
        <f t="shared" ref="S16" si="23">(1.5*0.045*6+1.5*0.045*6)*1000000</f>
        <v>810000</v>
      </c>
      <c r="T16" s="396">
        <f>S16*R16/1000000</f>
        <v>1048.1400000000001</v>
      </c>
      <c r="U16" s="396">
        <f t="shared" ref="U16" si="24">+T16*1</f>
        <v>1048.1400000000001</v>
      </c>
    </row>
    <row r="17" spans="1:21" s="314" customFormat="1" ht="31.9" customHeight="1">
      <c r="A17" s="385" t="s">
        <v>1188</v>
      </c>
      <c r="B17" s="366">
        <f>SUM(B5:B16)-B8</f>
        <v>588019</v>
      </c>
      <c r="C17" s="367"/>
      <c r="D17" s="433">
        <f>SUM(D5:D16)-D8</f>
        <v>267838.21880999993</v>
      </c>
      <c r="E17" s="368"/>
      <c r="F17" s="366">
        <f>SUM(F5:F16)-F8</f>
        <v>251564.01659999997</v>
      </c>
      <c r="G17" s="366">
        <f>SUM(G5:G16)-G8</f>
        <v>8707.9851899999994</v>
      </c>
      <c r="H17" s="369">
        <f>+G17+F17</f>
        <v>260272.00178999998</v>
      </c>
      <c r="I17" s="365"/>
      <c r="J17" s="369">
        <f>+J15+J16</f>
        <v>530735</v>
      </c>
      <c r="K17" s="369"/>
      <c r="L17" s="369">
        <f t="shared" ref="L17:U17" si="25">+L15+L16</f>
        <v>372575.96999999986</v>
      </c>
      <c r="M17" s="369">
        <f t="shared" si="25"/>
        <v>263751.01740000001</v>
      </c>
      <c r="N17" s="369">
        <f t="shared" si="25"/>
        <v>530735</v>
      </c>
      <c r="O17" s="369">
        <f t="shared" si="25"/>
        <v>750599.99999999988</v>
      </c>
      <c r="P17" s="369">
        <f t="shared" si="25"/>
        <v>398369.69099999988</v>
      </c>
      <c r="Q17" s="369">
        <f t="shared" si="25"/>
        <v>282010.70321999997</v>
      </c>
      <c r="R17" s="369">
        <f t="shared" si="25"/>
        <v>530735</v>
      </c>
      <c r="S17" s="369">
        <f t="shared" si="25"/>
        <v>810000</v>
      </c>
      <c r="T17" s="369">
        <f t="shared" si="25"/>
        <v>429895.35000000003</v>
      </c>
      <c r="U17" s="369">
        <f t="shared" si="25"/>
        <v>304328.09700000007</v>
      </c>
    </row>
    <row r="18" spans="1:21">
      <c r="G18" s="351"/>
    </row>
    <row r="19" spans="1:21">
      <c r="G19" s="351"/>
    </row>
    <row r="20" spans="1:21">
      <c r="G20" s="351"/>
    </row>
    <row r="22" spans="1:21">
      <c r="B22" s="355">
        <f>B17-B14</f>
        <v>509225</v>
      </c>
      <c r="D22" s="435">
        <f>D17-D14</f>
        <v>242096.21900999994</v>
      </c>
      <c r="F22" s="355">
        <f>F17-F14</f>
        <v>251564.01659999997</v>
      </c>
      <c r="G22" s="355">
        <f>G17-G14</f>
        <v>8707.9851899999994</v>
      </c>
      <c r="H22" s="353">
        <f>+G22+F22</f>
        <v>260272.00178999998</v>
      </c>
    </row>
  </sheetData>
  <customSheetViews>
    <customSheetView guid="{9F606621-8853-4836-9A7E-DBA5CF152671}">
      <selection activeCell="B20" sqref="B20"/>
      <pageMargins left="0.7" right="0.7" top="0.75" bottom="0.75" header="0.3" footer="0.3"/>
    </customSheetView>
    <customSheetView guid="{DB9039ED-C6EA-422D-9A5D-D152D95EDC67}">
      <selection activeCell="B20" sqref="B20"/>
      <pageMargins left="0.7" right="0.7" top="0.75" bottom="0.75" header="0.3" footer="0.3"/>
    </customSheetView>
  </customSheetViews>
  <mergeCells count="4">
    <mergeCell ref="E2:F2"/>
    <mergeCell ref="J3:M3"/>
    <mergeCell ref="N3:Q3"/>
    <mergeCell ref="R3:U3"/>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5" tint="0.39997558519241921"/>
  </sheetPr>
  <dimension ref="A1:M41"/>
  <sheetViews>
    <sheetView zoomScaleNormal="85" workbookViewId="0">
      <selection sqref="A1:I1"/>
    </sheetView>
  </sheetViews>
  <sheetFormatPr defaultColWidth="9.140625" defaultRowHeight="15"/>
  <cols>
    <col min="1" max="1" width="5.42578125" style="1" customWidth="1"/>
    <col min="2" max="2" width="45.7109375" style="1" customWidth="1"/>
    <col min="3" max="3" width="11.5703125" style="1" customWidth="1"/>
    <col min="4" max="4" width="11.85546875" style="1" customWidth="1"/>
    <col min="5" max="5" width="9.85546875" style="1" customWidth="1"/>
    <col min="6" max="6" width="8" style="143" customWidth="1"/>
    <col min="7" max="9" width="12.140625" style="1" customWidth="1"/>
    <col min="10" max="16384" width="9.140625" style="1"/>
  </cols>
  <sheetData>
    <row r="1" spans="1:9">
      <c r="A1" s="706" t="s">
        <v>224</v>
      </c>
      <c r="B1" s="706"/>
      <c r="C1" s="706"/>
      <c r="D1" s="706"/>
      <c r="E1" s="706"/>
      <c r="F1" s="706"/>
      <c r="G1" s="706"/>
      <c r="H1" s="706"/>
      <c r="I1" s="706"/>
    </row>
    <row r="2" spans="1:9" ht="18.75">
      <c r="A2" s="701" t="s">
        <v>786</v>
      </c>
      <c r="B2" s="701"/>
      <c r="C2" s="701"/>
      <c r="D2" s="701"/>
      <c r="E2" s="701"/>
      <c r="F2" s="701"/>
      <c r="G2" s="701"/>
      <c r="H2" s="701"/>
      <c r="I2" s="701"/>
    </row>
    <row r="3" spans="1:9">
      <c r="A3" s="707" t="s">
        <v>225</v>
      </c>
      <c r="B3" s="707"/>
      <c r="C3" s="707"/>
      <c r="D3" s="707"/>
      <c r="E3" s="707"/>
      <c r="F3" s="707"/>
      <c r="G3" s="707"/>
      <c r="H3" s="707"/>
      <c r="I3" s="707"/>
    </row>
    <row r="4" spans="1:9">
      <c r="H4" s="708" t="s">
        <v>56</v>
      </c>
      <c r="I4" s="708"/>
    </row>
    <row r="5" spans="1:9" ht="20.25" customHeight="1">
      <c r="A5" s="705" t="s">
        <v>3</v>
      </c>
      <c r="B5" s="705" t="s">
        <v>4</v>
      </c>
      <c r="C5" s="705" t="s">
        <v>787</v>
      </c>
      <c r="D5" s="705" t="s">
        <v>788</v>
      </c>
      <c r="E5" s="705" t="s">
        <v>226</v>
      </c>
      <c r="F5" s="705"/>
      <c r="G5" s="705" t="s">
        <v>789</v>
      </c>
      <c r="H5" s="705" t="s">
        <v>790</v>
      </c>
      <c r="I5" s="705" t="s">
        <v>791</v>
      </c>
    </row>
    <row r="6" spans="1:9" ht="54" customHeight="1">
      <c r="A6" s="705"/>
      <c r="B6" s="705"/>
      <c r="C6" s="705"/>
      <c r="D6" s="705"/>
      <c r="E6" s="7" t="s">
        <v>227</v>
      </c>
      <c r="F6" s="446" t="s">
        <v>228</v>
      </c>
      <c r="G6" s="705"/>
      <c r="H6" s="705"/>
      <c r="I6" s="705"/>
    </row>
    <row r="7" spans="1:9">
      <c r="A7" s="7" t="s">
        <v>15</v>
      </c>
      <c r="B7" s="7" t="s">
        <v>16</v>
      </c>
      <c r="C7" s="7">
        <v>1</v>
      </c>
      <c r="D7" s="7">
        <v>2</v>
      </c>
      <c r="E7" s="7" t="s">
        <v>229</v>
      </c>
      <c r="F7" s="446" t="s">
        <v>230</v>
      </c>
      <c r="G7" s="7">
        <v>5</v>
      </c>
      <c r="H7" s="7">
        <v>6</v>
      </c>
      <c r="I7" s="7">
        <v>7</v>
      </c>
    </row>
    <row r="8" spans="1:9">
      <c r="A8" s="55" t="s">
        <v>15</v>
      </c>
      <c r="B8" s="56" t="s">
        <v>231</v>
      </c>
      <c r="C8" s="113">
        <f>+C9+C10+C13+C14+C15</f>
        <v>9900155</v>
      </c>
      <c r="D8" s="113">
        <f t="shared" ref="D8:I8" si="0">+D9+D10+D13+D14+D15</f>
        <v>10595595.312350001</v>
      </c>
      <c r="E8" s="113">
        <f>D8-C8</f>
        <v>695440.31235000119</v>
      </c>
      <c r="F8" s="115">
        <f>D8/C8</f>
        <v>1.0702453963953091</v>
      </c>
      <c r="G8" s="113">
        <f>+G9+G10+G13+G14+G15</f>
        <v>11800921</v>
      </c>
      <c r="H8" s="113" t="e">
        <f t="shared" si="0"/>
        <v>#REF!</v>
      </c>
      <c r="I8" s="113" t="e">
        <f t="shared" si="0"/>
        <v>#REF!</v>
      </c>
    </row>
    <row r="9" spans="1:9">
      <c r="A9" s="57" t="s">
        <v>83</v>
      </c>
      <c r="B9" s="58" t="s">
        <v>232</v>
      </c>
      <c r="C9" s="109">
        <f>'12-DGCDNSDP2017'!E9</f>
        <v>9106335</v>
      </c>
      <c r="D9" s="109">
        <f>'46-CK NSNN'!D10</f>
        <v>9801775.3123500012</v>
      </c>
      <c r="E9" s="109">
        <f>D9-C9</f>
        <v>695440.31235000119</v>
      </c>
      <c r="F9" s="117">
        <f>D9/C9</f>
        <v>1.0763688478789768</v>
      </c>
      <c r="G9" s="109">
        <f>'46-CK NSNN'!E10</f>
        <v>10491910</v>
      </c>
      <c r="H9" s="109">
        <f>'09-CDNST 3nam'!F9+'09-CDNST 3nam'!F25</f>
        <v>11397971</v>
      </c>
      <c r="I9" s="109">
        <f>'09-CDNST 3nam'!G9+'09-CDNST 3nam'!G25</f>
        <v>12758788</v>
      </c>
    </row>
    <row r="10" spans="1:9">
      <c r="A10" s="57" t="s">
        <v>70</v>
      </c>
      <c r="B10" s="58" t="s">
        <v>233</v>
      </c>
      <c r="C10" s="110">
        <f>SUM(C11:C12)</f>
        <v>793820</v>
      </c>
      <c r="D10" s="110">
        <f t="shared" ref="D10:I10" si="1">SUM(D11:D12)</f>
        <v>793820</v>
      </c>
      <c r="E10" s="110">
        <f t="shared" ref="E10:E37" si="2">D10-C10</f>
        <v>0</v>
      </c>
      <c r="F10" s="116">
        <f t="shared" ref="F10:F37" si="3">D10/C10</f>
        <v>1</v>
      </c>
      <c r="G10" s="110">
        <f t="shared" si="1"/>
        <v>1265415</v>
      </c>
      <c r="H10" s="110" t="e">
        <f t="shared" si="1"/>
        <v>#REF!</v>
      </c>
      <c r="I10" s="110" t="e">
        <f t="shared" si="1"/>
        <v>#REF!</v>
      </c>
    </row>
    <row r="11" spans="1:9">
      <c r="A11" s="59">
        <v>1</v>
      </c>
      <c r="B11" s="60" t="s">
        <v>234</v>
      </c>
      <c r="C11" s="109">
        <f>'12-DGCDNSDP2017'!E13</f>
        <v>266017</v>
      </c>
      <c r="D11" s="109">
        <f>'46-CK NSNN'!D14+'46-CK NSNN'!D15</f>
        <v>266017</v>
      </c>
      <c r="E11" s="109">
        <f t="shared" si="2"/>
        <v>0</v>
      </c>
      <c r="F11" s="117">
        <f t="shared" si="3"/>
        <v>1</v>
      </c>
      <c r="G11" s="109">
        <f>'46-CK NSNN'!E14+'46-CK NSNN'!E15</f>
        <v>266017</v>
      </c>
      <c r="H11" s="109">
        <f>'09-CDNST 3nam'!F11</f>
        <v>266017</v>
      </c>
      <c r="I11" s="109">
        <f>'09-CDNST 3nam'!G11</f>
        <v>266017</v>
      </c>
    </row>
    <row r="12" spans="1:9">
      <c r="A12" s="59">
        <v>2</v>
      </c>
      <c r="B12" s="60" t="s">
        <v>88</v>
      </c>
      <c r="C12" s="109">
        <f>'12-DGCDNSDP2017'!E14</f>
        <v>527803</v>
      </c>
      <c r="D12" s="109">
        <f>'46-CK NSNN'!D16</f>
        <v>527803</v>
      </c>
      <c r="E12" s="109">
        <f t="shared" si="2"/>
        <v>0</v>
      </c>
      <c r="F12" s="117">
        <f t="shared" si="3"/>
        <v>1</v>
      </c>
      <c r="G12" s="109">
        <f>+'46-CK NSNN'!E16</f>
        <v>999398</v>
      </c>
      <c r="H12" s="109" t="e">
        <f>'09-CDNST 3nam'!F12</f>
        <v>#REF!</v>
      </c>
      <c r="I12" s="109" t="e">
        <f>'09-CDNST 3nam'!G12</f>
        <v>#REF!</v>
      </c>
    </row>
    <row r="13" spans="1:9">
      <c r="A13" s="57" t="s">
        <v>73</v>
      </c>
      <c r="B13" s="58" t="s">
        <v>235</v>
      </c>
      <c r="C13" s="109">
        <f>'12-DGCDNSDP2017'!E15</f>
        <v>0</v>
      </c>
      <c r="D13" s="109"/>
      <c r="E13" s="109">
        <f t="shared" si="2"/>
        <v>0</v>
      </c>
      <c r="F13" s="117"/>
      <c r="G13" s="109"/>
      <c r="H13" s="109"/>
      <c r="I13" s="109"/>
    </row>
    <row r="14" spans="1:9">
      <c r="A14" s="57" t="s">
        <v>77</v>
      </c>
      <c r="B14" s="58" t="s">
        <v>236</v>
      </c>
      <c r="C14" s="109">
        <f>+'12-DGCDNSDP2017'!E16</f>
        <v>0</v>
      </c>
      <c r="D14" s="109"/>
      <c r="E14" s="109">
        <f t="shared" si="2"/>
        <v>0</v>
      </c>
      <c r="F14" s="117"/>
      <c r="G14" s="109">
        <v>43596</v>
      </c>
      <c r="H14" s="109">
        <v>34325</v>
      </c>
      <c r="I14" s="109">
        <v>0</v>
      </c>
    </row>
    <row r="15" spans="1:9">
      <c r="A15" s="57" t="s">
        <v>113</v>
      </c>
      <c r="B15" s="58" t="s">
        <v>237</v>
      </c>
      <c r="C15" s="109">
        <f>'12-DGCDNSDP2017'!E17</f>
        <v>0</v>
      </c>
      <c r="D15" s="109"/>
      <c r="E15" s="109">
        <f t="shared" si="2"/>
        <v>0</v>
      </c>
      <c r="F15" s="117"/>
      <c r="G15" s="109"/>
      <c r="H15" s="109"/>
      <c r="I15" s="109"/>
    </row>
    <row r="16" spans="1:9">
      <c r="A16" s="57" t="s">
        <v>16</v>
      </c>
      <c r="B16" s="58" t="s">
        <v>90</v>
      </c>
      <c r="C16" s="110" t="e">
        <f>+C17+C24+C27</f>
        <v>#REF!</v>
      </c>
      <c r="D16" s="110">
        <f t="shared" ref="D16:I16" si="4">+D17+D24+D27</f>
        <v>10974713.363262333</v>
      </c>
      <c r="E16" s="110" t="e">
        <f t="shared" si="2"/>
        <v>#REF!</v>
      </c>
      <c r="F16" s="116" t="e">
        <f t="shared" si="3"/>
        <v>#REF!</v>
      </c>
      <c r="G16" s="110">
        <f t="shared" si="4"/>
        <v>11890921</v>
      </c>
      <c r="H16" s="110" t="e">
        <f t="shared" si="4"/>
        <v>#REF!</v>
      </c>
      <c r="I16" s="110" t="e">
        <f t="shared" si="4"/>
        <v>#REF!</v>
      </c>
    </row>
    <row r="17" spans="1:13">
      <c r="A17" s="57" t="s">
        <v>83</v>
      </c>
      <c r="B17" s="58" t="s">
        <v>238</v>
      </c>
      <c r="C17" s="110">
        <f>SUM(C18:C23)</f>
        <v>9249318</v>
      </c>
      <c r="D17" s="110">
        <f t="shared" ref="D17:I17" si="5">SUM(D18:D23)</f>
        <v>9950737.1872623339</v>
      </c>
      <c r="E17" s="110">
        <f t="shared" si="2"/>
        <v>701419.18726233393</v>
      </c>
      <c r="F17" s="116">
        <f t="shared" si="3"/>
        <v>1.075834692597047</v>
      </c>
      <c r="G17" s="110">
        <f t="shared" si="5"/>
        <v>10891523</v>
      </c>
      <c r="H17" s="110">
        <f t="shared" si="5"/>
        <v>12006965</v>
      </c>
      <c r="I17" s="110">
        <f t="shared" si="5"/>
        <v>13272044</v>
      </c>
    </row>
    <row r="18" spans="1:13">
      <c r="A18" s="59">
        <v>1</v>
      </c>
      <c r="B18" s="60" t="s">
        <v>93</v>
      </c>
      <c r="C18" s="109">
        <f>'12-DGCDNSDP2017'!E20</f>
        <v>2194840</v>
      </c>
      <c r="D18" s="109">
        <f>'46-CK NSNN'!D22</f>
        <v>2988610.5812999997</v>
      </c>
      <c r="E18" s="109">
        <f t="shared" si="2"/>
        <v>793770.58129999973</v>
      </c>
      <c r="F18" s="117">
        <f t="shared" si="3"/>
        <v>1.3616530504729274</v>
      </c>
      <c r="G18" s="109">
        <f>'46-CK NSNN'!E22</f>
        <v>3007216</v>
      </c>
      <c r="H18" s="109">
        <f>2504852+294631+320000</f>
        <v>3119483</v>
      </c>
      <c r="I18" s="109">
        <v>3214395</v>
      </c>
      <c r="K18" s="1">
        <f>H18/H17</f>
        <v>0.25980612086401517</v>
      </c>
      <c r="L18" s="1">
        <f>I18/I17</f>
        <v>0.24219291316394068</v>
      </c>
      <c r="M18" s="105">
        <f>H17-G17</f>
        <v>1115442</v>
      </c>
    </row>
    <row r="19" spans="1:13">
      <c r="A19" s="59">
        <v>2</v>
      </c>
      <c r="B19" s="60" t="s">
        <v>96</v>
      </c>
      <c r="C19" s="109">
        <f>'12-DGCDNSDP2017'!E21</f>
        <v>6861302</v>
      </c>
      <c r="D19" s="109">
        <f>'46-CK NSNN'!D23</f>
        <v>6955083.6059623342</v>
      </c>
      <c r="E19" s="109">
        <f t="shared" si="2"/>
        <v>93781.605962334201</v>
      </c>
      <c r="F19" s="117">
        <f t="shared" si="3"/>
        <v>1.013668193873748</v>
      </c>
      <c r="G19" s="109">
        <f>'46-CK NSNN'!E23</f>
        <v>7179056</v>
      </c>
      <c r="H19" s="109">
        <v>7549411</v>
      </c>
      <c r="I19" s="109">
        <v>8013912</v>
      </c>
      <c r="K19" s="1">
        <f>H19/H17</f>
        <v>0.62875264481906956</v>
      </c>
      <c r="L19" s="1">
        <f>I19/I17</f>
        <v>0.60381897468091572</v>
      </c>
    </row>
    <row r="20" spans="1:13" ht="30">
      <c r="A20" s="59">
        <v>3</v>
      </c>
      <c r="B20" s="60" t="s">
        <v>239</v>
      </c>
      <c r="C20" s="109">
        <f>'12-DGCDNSDP2017'!E22</f>
        <v>2916</v>
      </c>
      <c r="D20" s="109">
        <f>'46-CK NSNN'!D24</f>
        <v>5783</v>
      </c>
      <c r="E20" s="109">
        <f t="shared" si="2"/>
        <v>2867</v>
      </c>
      <c r="F20" s="117">
        <f t="shared" si="3"/>
        <v>1.983196159122085</v>
      </c>
      <c r="G20" s="109">
        <f>'46-CK NSNN'!E24</f>
        <v>22624</v>
      </c>
      <c r="H20" s="109">
        <v>50007</v>
      </c>
      <c r="I20" s="109">
        <v>68585</v>
      </c>
    </row>
    <row r="21" spans="1:13">
      <c r="A21" s="59">
        <v>4</v>
      </c>
      <c r="B21" s="60" t="s">
        <v>240</v>
      </c>
      <c r="C21" s="109">
        <f>'12-DGCDNSDP2017'!E23</f>
        <v>1260</v>
      </c>
      <c r="D21" s="109">
        <f>'46-CK NSNN'!D25</f>
        <v>1260</v>
      </c>
      <c r="E21" s="109">
        <f t="shared" si="2"/>
        <v>0</v>
      </c>
      <c r="F21" s="117">
        <f t="shared" si="3"/>
        <v>1</v>
      </c>
      <c r="G21" s="109">
        <f>'46-CK NSNN'!E25</f>
        <v>1260</v>
      </c>
      <c r="H21" s="109">
        <v>1260</v>
      </c>
      <c r="I21" s="109">
        <v>1260</v>
      </c>
    </row>
    <row r="22" spans="1:13">
      <c r="A22" s="59">
        <v>5</v>
      </c>
      <c r="B22" s="60" t="s">
        <v>241</v>
      </c>
      <c r="C22" s="109">
        <f>'12-DGCDNSDP2017'!E24</f>
        <v>189000</v>
      </c>
      <c r="D22" s="109">
        <f>'46-CK NSNN'!D26</f>
        <v>0</v>
      </c>
      <c r="E22" s="109">
        <f t="shared" si="2"/>
        <v>-189000</v>
      </c>
      <c r="F22" s="117">
        <f t="shared" si="3"/>
        <v>0</v>
      </c>
      <c r="G22" s="109">
        <f>'46-CK NSNN'!E26</f>
        <v>260714</v>
      </c>
      <c r="H22" s="109">
        <v>300986</v>
      </c>
      <c r="I22" s="109">
        <v>365165</v>
      </c>
    </row>
    <row r="23" spans="1:13">
      <c r="A23" s="59">
        <v>6</v>
      </c>
      <c r="B23" s="60" t="s">
        <v>98</v>
      </c>
      <c r="C23" s="109">
        <f>'12-DGCDNSDP2017'!E25</f>
        <v>0</v>
      </c>
      <c r="D23" s="109">
        <f>'46-CK NSNN'!D27</f>
        <v>0</v>
      </c>
      <c r="E23" s="109">
        <f t="shared" si="2"/>
        <v>0</v>
      </c>
      <c r="F23" s="117"/>
      <c r="G23" s="109">
        <f>'46-CK NSNN'!E27</f>
        <v>420653</v>
      </c>
      <c r="H23" s="109">
        <v>985818</v>
      </c>
      <c r="I23" s="109">
        <v>1608727</v>
      </c>
    </row>
    <row r="24" spans="1:13">
      <c r="A24" s="57" t="s">
        <v>70</v>
      </c>
      <c r="B24" s="58" t="s">
        <v>242</v>
      </c>
      <c r="C24" s="110" t="e">
        <f>SUM(C25:C26)</f>
        <v>#REF!</v>
      </c>
      <c r="D24" s="110">
        <f t="shared" ref="D24:I24" si="6">SUM(D25:D26)</f>
        <v>459616</v>
      </c>
      <c r="E24" s="110" t="e">
        <f t="shared" si="2"/>
        <v>#REF!</v>
      </c>
      <c r="F24" s="116" t="e">
        <f t="shared" si="3"/>
        <v>#REF!</v>
      </c>
      <c r="G24" s="110">
        <f t="shared" si="6"/>
        <v>999398</v>
      </c>
      <c r="H24" s="110" t="e">
        <f t="shared" si="6"/>
        <v>#REF!</v>
      </c>
      <c r="I24" s="110" t="e">
        <f t="shared" si="6"/>
        <v>#REF!</v>
      </c>
    </row>
    <row r="25" spans="1:13">
      <c r="A25" s="59">
        <v>1</v>
      </c>
      <c r="B25" s="60" t="s">
        <v>243</v>
      </c>
      <c r="C25" s="109" t="e">
        <f>+'12-DGCDNSDP2017'!E27</f>
        <v>#REF!</v>
      </c>
      <c r="D25" s="109">
        <f>'46-CK NSNN'!D29</f>
        <v>203194</v>
      </c>
      <c r="E25" s="109" t="e">
        <f t="shared" si="2"/>
        <v>#REF!</v>
      </c>
      <c r="F25" s="117" t="e">
        <f t="shared" si="3"/>
        <v>#REF!</v>
      </c>
      <c r="G25" s="109">
        <f>'46-CK NSNN'!E29</f>
        <v>169576</v>
      </c>
      <c r="H25" s="109">
        <f>'10-ChiNST3nam'!F15+'10-ChiNST3nam'!F20</f>
        <v>320563</v>
      </c>
      <c r="I25" s="109">
        <f>'10-ChiNST3nam'!G15+'10-ChiNST3nam'!G20</f>
        <v>320563</v>
      </c>
    </row>
    <row r="26" spans="1:13">
      <c r="A26" s="59">
        <v>2</v>
      </c>
      <c r="B26" s="60" t="s">
        <v>244</v>
      </c>
      <c r="C26" s="109" t="e">
        <f>+'12-DGCDNSDP2017'!E28</f>
        <v>#REF!</v>
      </c>
      <c r="D26" s="109">
        <f>'46-CK NSNN'!D30</f>
        <v>256422</v>
      </c>
      <c r="E26" s="109" t="e">
        <f t="shared" si="2"/>
        <v>#REF!</v>
      </c>
      <c r="F26" s="117" t="e">
        <f t="shared" si="3"/>
        <v>#REF!</v>
      </c>
      <c r="G26" s="109">
        <f>'46-CK NSNN'!E30</f>
        <v>829822</v>
      </c>
      <c r="H26" s="109" t="e">
        <f>+'10-ChiNST3nam'!F16+'10-ChiNST3nam'!F21</f>
        <v>#REF!</v>
      </c>
      <c r="I26" s="109" t="e">
        <f>+'10-ChiNST3nam'!G16+'10-ChiNST3nam'!G21</f>
        <v>#REF!</v>
      </c>
    </row>
    <row r="27" spans="1:13">
      <c r="A27" s="57" t="s">
        <v>73</v>
      </c>
      <c r="B27" s="58" t="s">
        <v>245</v>
      </c>
      <c r="C27" s="109">
        <f>+'12-DGCDNSDP2017'!E29</f>
        <v>0</v>
      </c>
      <c r="D27" s="109">
        <f>'46-CK NSNN'!D31</f>
        <v>564360.17599999998</v>
      </c>
      <c r="E27" s="109">
        <f t="shared" si="2"/>
        <v>564360.17599999998</v>
      </c>
      <c r="F27" s="117"/>
      <c r="G27" s="109"/>
      <c r="H27" s="109"/>
      <c r="I27" s="109"/>
    </row>
    <row r="28" spans="1:13" s="114" customFormat="1" ht="14.25">
      <c r="A28" s="57" t="s">
        <v>79</v>
      </c>
      <c r="B28" s="58" t="s">
        <v>246</v>
      </c>
      <c r="C28" s="110" t="e">
        <f>C8-C16</f>
        <v>#REF!</v>
      </c>
      <c r="D28" s="110"/>
      <c r="E28" s="110" t="e">
        <f t="shared" si="2"/>
        <v>#REF!</v>
      </c>
      <c r="F28" s="116" t="e">
        <f t="shared" si="3"/>
        <v>#REF!</v>
      </c>
      <c r="G28" s="110">
        <f>G8-G16</f>
        <v>-90000</v>
      </c>
      <c r="H28" s="110" t="e">
        <f t="shared" ref="H28:I28" si="7">H8-H16</f>
        <v>#REF!</v>
      </c>
      <c r="I28" s="110" t="e">
        <f t="shared" si="7"/>
        <v>#REF!</v>
      </c>
    </row>
    <row r="29" spans="1:13">
      <c r="A29" s="57" t="s">
        <v>89</v>
      </c>
      <c r="B29" s="58" t="s">
        <v>247</v>
      </c>
      <c r="C29" s="110">
        <f>+C30+C31+C32+C35+C38</f>
        <v>4179474.5</v>
      </c>
      <c r="D29" s="110">
        <f t="shared" ref="D29:I29" si="8">+D30+D31+D32+D35+D38</f>
        <v>4178180.5</v>
      </c>
      <c r="E29" s="110">
        <f t="shared" si="2"/>
        <v>-1294</v>
      </c>
      <c r="F29" s="116">
        <f t="shared" si="3"/>
        <v>0.99969039169876495</v>
      </c>
      <c r="G29" s="110">
        <f t="shared" si="8"/>
        <v>5332779</v>
      </c>
      <c r="H29" s="110">
        <f t="shared" si="8"/>
        <v>6148077.2999999998</v>
      </c>
      <c r="I29" s="110">
        <f t="shared" si="8"/>
        <v>6929208.4000000004</v>
      </c>
    </row>
    <row r="30" spans="1:13" s="114" customFormat="1" ht="14.25">
      <c r="A30" s="57" t="s">
        <v>83</v>
      </c>
      <c r="B30" s="58" t="s">
        <v>248</v>
      </c>
      <c r="C30" s="110">
        <f>'12-DGCDNSDP2017'!C9*0.3</f>
        <v>2716900.5</v>
      </c>
      <c r="D30" s="110">
        <f>+C30</f>
        <v>2716900.5</v>
      </c>
      <c r="E30" s="110">
        <f t="shared" si="2"/>
        <v>0</v>
      </c>
      <c r="F30" s="116">
        <f t="shared" si="3"/>
        <v>1</v>
      </c>
      <c r="G30" s="110">
        <f>G9*0.3</f>
        <v>3147573</v>
      </c>
      <c r="H30" s="110">
        <f>H9*0.3</f>
        <v>3419391.3</v>
      </c>
      <c r="I30" s="110">
        <f>I9*0.3</f>
        <v>3827636.4</v>
      </c>
    </row>
    <row r="31" spans="1:13">
      <c r="A31" s="57" t="s">
        <v>70</v>
      </c>
      <c r="B31" s="58" t="s">
        <v>249</v>
      </c>
      <c r="C31" s="110">
        <f>'18-Boi chi'!C12</f>
        <v>729817</v>
      </c>
      <c r="D31" s="110">
        <f>+C31</f>
        <v>729817</v>
      </c>
      <c r="E31" s="110">
        <f t="shared" si="2"/>
        <v>0</v>
      </c>
      <c r="F31" s="116">
        <f t="shared" si="3"/>
        <v>1</v>
      </c>
      <c r="G31" s="110">
        <f>D38</f>
        <v>568503</v>
      </c>
      <c r="H31" s="110">
        <f>G38</f>
        <v>658503</v>
      </c>
      <c r="I31" s="110">
        <f>H38</f>
        <v>967155</v>
      </c>
    </row>
    <row r="32" spans="1:13">
      <c r="A32" s="57" t="s">
        <v>73</v>
      </c>
      <c r="B32" s="58" t="s">
        <v>250</v>
      </c>
      <c r="C32" s="110">
        <f>SUM(C33:C34)</f>
        <v>123034</v>
      </c>
      <c r="D32" s="110">
        <f t="shared" ref="D32:I32" si="9">SUM(D33:D34)</f>
        <v>162137</v>
      </c>
      <c r="E32" s="110">
        <f t="shared" si="2"/>
        <v>39103</v>
      </c>
      <c r="F32" s="116">
        <f t="shared" si="3"/>
        <v>1.3178227156720907</v>
      </c>
      <c r="G32" s="110">
        <f t="shared" si="9"/>
        <v>434100</v>
      </c>
      <c r="H32" s="110">
        <f t="shared" si="9"/>
        <v>397188</v>
      </c>
      <c r="I32" s="110">
        <f t="shared" si="9"/>
        <v>336392</v>
      </c>
    </row>
    <row r="33" spans="1:9">
      <c r="A33" s="59">
        <v>1</v>
      </c>
      <c r="B33" s="60" t="s">
        <v>785</v>
      </c>
      <c r="C33" s="109"/>
      <c r="D33" s="109"/>
      <c r="E33" s="109">
        <f t="shared" si="2"/>
        <v>0</v>
      </c>
      <c r="F33" s="117"/>
      <c r="G33" s="109"/>
      <c r="H33" s="109"/>
      <c r="I33" s="109"/>
    </row>
    <row r="34" spans="1:9" ht="30" customHeight="1">
      <c r="A34" s="59">
        <v>2</v>
      </c>
      <c r="B34" s="60" t="s">
        <v>251</v>
      </c>
      <c r="C34" s="109">
        <f>'46-CK NSNN'!C35</f>
        <v>123034</v>
      </c>
      <c r="D34" s="109">
        <f>'46-CK NSNN'!D33</f>
        <v>162137</v>
      </c>
      <c r="E34" s="109">
        <f t="shared" si="2"/>
        <v>39103</v>
      </c>
      <c r="F34" s="117">
        <f t="shared" si="3"/>
        <v>1.3178227156720907</v>
      </c>
      <c r="G34" s="109">
        <f>'46-CK NSNN'!E35</f>
        <v>434100</v>
      </c>
      <c r="H34" s="109">
        <f>362863+34325</f>
        <v>397188</v>
      </c>
      <c r="I34" s="109">
        <v>336392</v>
      </c>
    </row>
    <row r="35" spans="1:9">
      <c r="A35" s="57" t="s">
        <v>77</v>
      </c>
      <c r="B35" s="58" t="s">
        <v>252</v>
      </c>
      <c r="C35" s="110">
        <f t="shared" ref="C35:I35" si="10">SUM(C36:C37)</f>
        <v>1470</v>
      </c>
      <c r="D35" s="110">
        <f t="shared" si="10"/>
        <v>823</v>
      </c>
      <c r="E35" s="110">
        <f t="shared" si="2"/>
        <v>-647</v>
      </c>
      <c r="F35" s="116">
        <f t="shared" si="3"/>
        <v>0.55986394557823127</v>
      </c>
      <c r="G35" s="110">
        <f t="shared" si="10"/>
        <v>524100</v>
      </c>
      <c r="H35" s="110">
        <f t="shared" si="10"/>
        <v>705840</v>
      </c>
      <c r="I35" s="110">
        <f t="shared" si="10"/>
        <v>583631</v>
      </c>
    </row>
    <row r="36" spans="1:9">
      <c r="A36" s="59">
        <v>1</v>
      </c>
      <c r="B36" s="60" t="s">
        <v>253</v>
      </c>
      <c r="C36" s="109"/>
      <c r="D36" s="109"/>
      <c r="E36" s="109">
        <f t="shared" si="2"/>
        <v>0</v>
      </c>
      <c r="F36" s="117"/>
      <c r="G36" s="109">
        <v>90000</v>
      </c>
      <c r="H36" s="109">
        <f>705840-H37</f>
        <v>308652</v>
      </c>
      <c r="I36" s="109">
        <f>583631-I37</f>
        <v>247239</v>
      </c>
    </row>
    <row r="37" spans="1:9">
      <c r="A37" s="59">
        <v>2</v>
      </c>
      <c r="B37" s="60" t="s">
        <v>254</v>
      </c>
      <c r="C37" s="109">
        <f>'46-CK NSNN'!C38</f>
        <v>1470</v>
      </c>
      <c r="D37" s="109">
        <f>'46-CK NSNN'!D38</f>
        <v>823</v>
      </c>
      <c r="E37" s="109">
        <f t="shared" si="2"/>
        <v>-647</v>
      </c>
      <c r="F37" s="117">
        <f t="shared" si="3"/>
        <v>0.55986394557823127</v>
      </c>
      <c r="G37" s="109">
        <f>G34</f>
        <v>434100</v>
      </c>
      <c r="H37" s="109">
        <f>H32</f>
        <v>397188</v>
      </c>
      <c r="I37" s="109">
        <f>I32</f>
        <v>336392</v>
      </c>
    </row>
    <row r="38" spans="1:9" s="114" customFormat="1" ht="14.25">
      <c r="A38" s="61" t="s">
        <v>113</v>
      </c>
      <c r="B38" s="62" t="s">
        <v>114</v>
      </c>
      <c r="C38" s="111">
        <f>C31-C32+C35</f>
        <v>608253</v>
      </c>
      <c r="D38" s="111">
        <f>D31-D32+D35</f>
        <v>568503</v>
      </c>
      <c r="E38" s="111">
        <f t="shared" ref="E38" si="11">D38-C38</f>
        <v>-39750</v>
      </c>
      <c r="F38" s="118">
        <f t="shared" ref="F38" si="12">D38/C38</f>
        <v>0.93464890432106373</v>
      </c>
      <c r="G38" s="111">
        <f>G31-G32+G35</f>
        <v>658503</v>
      </c>
      <c r="H38" s="111">
        <f t="shared" ref="H38:I38" si="13">H31-H32+H35</f>
        <v>967155</v>
      </c>
      <c r="I38" s="111">
        <f t="shared" si="13"/>
        <v>1214394</v>
      </c>
    </row>
    <row r="39" spans="1:9" ht="19.5" customHeight="1">
      <c r="A39" s="16" t="s">
        <v>118</v>
      </c>
    </row>
    <row r="40" spans="1:9" ht="51" customHeight="1">
      <c r="A40" s="709" t="s">
        <v>119</v>
      </c>
      <c r="B40" s="709"/>
      <c r="C40" s="709"/>
      <c r="D40" s="709"/>
      <c r="E40" s="709"/>
      <c r="F40" s="709"/>
      <c r="G40" s="709"/>
      <c r="H40" s="709"/>
      <c r="I40" s="709"/>
    </row>
    <row r="41" spans="1:9" ht="36" customHeight="1">
      <c r="A41" s="709" t="s">
        <v>255</v>
      </c>
      <c r="B41" s="709"/>
      <c r="C41" s="709"/>
      <c r="D41" s="709"/>
      <c r="E41" s="709"/>
      <c r="F41" s="709"/>
      <c r="G41" s="709"/>
      <c r="H41" s="709"/>
      <c r="I41" s="709"/>
    </row>
  </sheetData>
  <customSheetViews>
    <customSheetView guid="{9F606621-8853-4836-9A7E-DBA5CF152671}" state="hidden">
      <selection sqref="A1:I1"/>
      <pageMargins left="0.55000000000000004" right="0.23" top="0.74803149606299213" bottom="0.74803149606299213" header="0.31496062992125984" footer="0.31496062992125984"/>
      <pageSetup paperSize="9" scale="85" orientation="portrait" r:id="rId1"/>
    </customSheetView>
    <customSheetView guid="{DB9039ED-C6EA-422D-9A5D-D152D95EDC67}" scale="85" showPageBreaks="1" topLeftCell="A3">
      <selection activeCell="D9" sqref="D9"/>
      <pageMargins left="0.55118110236220474" right="0.23622047244094491" top="0.74803149606299213" bottom="0.74803149606299213" header="0.31496062992125984" footer="0.31496062992125984"/>
      <printOptions horizontalCentered="1"/>
      <pageSetup paperSize="9" scale="70" orientation="portrait" r:id="rId2"/>
    </customSheetView>
  </customSheetViews>
  <mergeCells count="14">
    <mergeCell ref="A40:I40"/>
    <mergeCell ref="A41:I41"/>
    <mergeCell ref="H5:H6"/>
    <mergeCell ref="I5:I6"/>
    <mergeCell ref="A1:I1"/>
    <mergeCell ref="A2:I2"/>
    <mergeCell ref="A3:I3"/>
    <mergeCell ref="H4:I4"/>
    <mergeCell ref="A5:A6"/>
    <mergeCell ref="B5:B6"/>
    <mergeCell ref="C5:C6"/>
    <mergeCell ref="D5:D6"/>
    <mergeCell ref="E5:F5"/>
    <mergeCell ref="G5:G6"/>
  </mergeCells>
  <pageMargins left="0.55000000000000004" right="0.23" top="0.74803149606299213" bottom="0.74803149606299213" header="0.31496062992125984" footer="0.31496062992125984"/>
  <pageSetup paperSize="9" scale="85" orientation="portrait" r:id="rId3"/>
</worksheet>
</file>

<file path=xl/worksheets/sheet70.xml><?xml version="1.0" encoding="utf-8"?>
<worksheet xmlns="http://schemas.openxmlformats.org/spreadsheetml/2006/main" xmlns:r="http://schemas.openxmlformats.org/officeDocument/2006/relationships">
  <dimension ref="A1:X52"/>
  <sheetViews>
    <sheetView workbookViewId="0">
      <pane xSplit="1" ySplit="4" topLeftCell="I35" activePane="bottomRight" state="frozen"/>
      <selection pane="topRight" activeCell="B1" sqref="B1"/>
      <selection pane="bottomLeft" activeCell="A5" sqref="A5"/>
      <selection pane="bottomRight" activeCell="P44" sqref="P44"/>
    </sheetView>
  </sheetViews>
  <sheetFormatPr defaultRowHeight="15"/>
  <cols>
    <col min="1" max="1" width="23.42578125" customWidth="1"/>
    <col min="2" max="2" width="12.85546875" style="400" bestFit="1" customWidth="1"/>
    <col min="3" max="5" width="12.85546875" style="400" customWidth="1"/>
    <col min="6" max="8" width="13.5703125" style="401" customWidth="1"/>
    <col min="9" max="12" width="13.5703125" style="400" customWidth="1"/>
    <col min="13" max="13" width="8.28515625" style="400" customWidth="1"/>
    <col min="14" max="16" width="13.5703125" style="408" customWidth="1"/>
    <col min="17" max="17" width="9.85546875" style="408" customWidth="1"/>
    <col min="18" max="19" width="12.28515625" style="400" customWidth="1"/>
    <col min="20" max="20" width="11.5703125" style="400" customWidth="1"/>
    <col min="21" max="21" width="7.5703125" customWidth="1"/>
  </cols>
  <sheetData>
    <row r="1" spans="1:24">
      <c r="B1" s="400">
        <f>B32</f>
        <v>955790</v>
      </c>
      <c r="I1" s="400">
        <f>B1*1.1</f>
        <v>1051369</v>
      </c>
      <c r="N1" s="408">
        <f>I1*1.1</f>
        <v>1156505.9000000001</v>
      </c>
      <c r="O1" s="408">
        <f>+N1-N32</f>
        <v>362862.90000000014</v>
      </c>
      <c r="R1" s="400">
        <f>N1*1.1</f>
        <v>1272156.4900000002</v>
      </c>
      <c r="S1" s="400">
        <f>+R1-R32</f>
        <v>336392.49000000022</v>
      </c>
    </row>
    <row r="2" spans="1:24">
      <c r="A2" t="s">
        <v>1199</v>
      </c>
    </row>
    <row r="3" spans="1:24" s="388" customFormat="1">
      <c r="B3" s="402" t="s">
        <v>1205</v>
      </c>
      <c r="C3" s="835" t="s">
        <v>1233</v>
      </c>
      <c r="D3" s="835"/>
      <c r="E3" s="835"/>
      <c r="F3" s="836" t="s">
        <v>1120</v>
      </c>
      <c r="G3" s="836"/>
      <c r="H3" s="836"/>
      <c r="I3" s="402" t="s">
        <v>1235</v>
      </c>
      <c r="J3" s="835" t="s">
        <v>1060</v>
      </c>
      <c r="K3" s="835"/>
      <c r="L3" s="835"/>
      <c r="M3" s="838" t="s">
        <v>1269</v>
      </c>
      <c r="N3" s="837" t="s">
        <v>1216</v>
      </c>
      <c r="O3" s="837"/>
      <c r="P3" s="837"/>
      <c r="Q3" s="833" t="s">
        <v>1269</v>
      </c>
      <c r="R3" s="835" t="s">
        <v>1217</v>
      </c>
      <c r="S3" s="835"/>
      <c r="T3" s="835"/>
      <c r="U3" s="833" t="s">
        <v>1269</v>
      </c>
      <c r="V3" s="834"/>
      <c r="W3" s="834"/>
      <c r="X3" s="834"/>
    </row>
    <row r="4" spans="1:24" s="388" customFormat="1">
      <c r="B4" s="402"/>
      <c r="C4" s="402" t="s">
        <v>1206</v>
      </c>
      <c r="D4" s="402" t="s">
        <v>1207</v>
      </c>
      <c r="E4" s="402" t="s">
        <v>889</v>
      </c>
      <c r="F4" s="403" t="s">
        <v>1206</v>
      </c>
      <c r="G4" s="403" t="s">
        <v>1207</v>
      </c>
      <c r="H4" s="403" t="s">
        <v>889</v>
      </c>
      <c r="I4" s="402"/>
      <c r="J4" s="402" t="s">
        <v>1206</v>
      </c>
      <c r="K4" s="402" t="s">
        <v>1207</v>
      </c>
      <c r="L4" s="402" t="s">
        <v>889</v>
      </c>
      <c r="M4" s="838"/>
      <c r="N4" s="410" t="s">
        <v>1206</v>
      </c>
      <c r="O4" s="410" t="s">
        <v>1207</v>
      </c>
      <c r="P4" s="410" t="s">
        <v>889</v>
      </c>
      <c r="Q4" s="833"/>
      <c r="R4" s="402" t="s">
        <v>1206</v>
      </c>
      <c r="S4" s="402" t="s">
        <v>1207</v>
      </c>
      <c r="T4" s="402" t="s">
        <v>889</v>
      </c>
      <c r="U4" s="833"/>
    </row>
    <row r="5" spans="1:24">
      <c r="A5" t="s">
        <v>892</v>
      </c>
      <c r="B5" s="400">
        <f>+B6+B10</f>
        <v>11355000</v>
      </c>
      <c r="C5" s="400">
        <f t="shared" ref="C5:T5" si="0">+C6+C10</f>
        <v>11405000</v>
      </c>
      <c r="D5" s="400">
        <f t="shared" si="0"/>
        <v>9315400</v>
      </c>
      <c r="E5" s="400">
        <f t="shared" si="0"/>
        <v>2089600</v>
      </c>
      <c r="F5" s="401">
        <f t="shared" si="0"/>
        <v>12135000</v>
      </c>
      <c r="G5" s="401">
        <f t="shared" si="0"/>
        <v>9182500</v>
      </c>
      <c r="H5" s="401">
        <f t="shared" si="0"/>
        <v>2952500</v>
      </c>
      <c r="I5" s="400">
        <f t="shared" si="0"/>
        <v>12855000</v>
      </c>
      <c r="J5" s="400">
        <f t="shared" si="0"/>
        <v>12855000</v>
      </c>
      <c r="K5" s="400" t="e">
        <f t="shared" si="0"/>
        <v>#REF!</v>
      </c>
      <c r="L5" s="400" t="e">
        <f t="shared" si="0"/>
        <v>#REF!</v>
      </c>
      <c r="M5" s="409">
        <f>+J5/C5</f>
        <v>1.1271372205173169</v>
      </c>
      <c r="N5" s="408">
        <f t="shared" si="0"/>
        <v>13817000</v>
      </c>
      <c r="O5" s="408">
        <f t="shared" si="0"/>
        <v>10924400</v>
      </c>
      <c r="P5" s="408">
        <f t="shared" si="0"/>
        <v>2892600</v>
      </c>
      <c r="Q5" s="411">
        <f>N5/J5</f>
        <v>1.0748346946713341</v>
      </c>
      <c r="R5" s="400">
        <f t="shared" si="0"/>
        <v>15268000</v>
      </c>
      <c r="S5" s="400">
        <f t="shared" si="0"/>
        <v>12048000</v>
      </c>
      <c r="T5" s="400">
        <f t="shared" si="0"/>
        <v>3220000</v>
      </c>
      <c r="U5" s="409">
        <f>R5/N5</f>
        <v>1.1050155605413621</v>
      </c>
    </row>
    <row r="6" spans="1:24">
      <c r="A6" t="s">
        <v>1200</v>
      </c>
      <c r="B6" s="400">
        <v>9450000</v>
      </c>
      <c r="C6" s="400">
        <v>9500000</v>
      </c>
      <c r="D6" s="400">
        <v>7410400</v>
      </c>
      <c r="E6" s="400">
        <f>+C6-D6</f>
        <v>2089600</v>
      </c>
      <c r="F6" s="401">
        <v>10230000</v>
      </c>
      <c r="G6" s="401">
        <v>7277500</v>
      </c>
      <c r="H6" s="401">
        <f>+F6-G6</f>
        <v>2952500</v>
      </c>
      <c r="I6" s="400">
        <f>+J6</f>
        <v>10925000</v>
      </c>
      <c r="J6" s="400">
        <f>'48-CK NSNN'!E11</f>
        <v>10925000</v>
      </c>
      <c r="K6" s="400" t="e">
        <f>'48-CK NSNN'!#REF!</f>
        <v>#REF!</v>
      </c>
      <c r="L6" s="400" t="e">
        <f>+J6-K6</f>
        <v>#REF!</v>
      </c>
      <c r="M6" s="409">
        <f t="shared" ref="M6:M50" si="1">+J6/C6</f>
        <v>1.1499999999999999</v>
      </c>
      <c r="N6" s="408">
        <v>11852000</v>
      </c>
      <c r="O6" s="408">
        <v>8959400</v>
      </c>
      <c r="P6" s="408">
        <f>+N6-O6</f>
        <v>2892600</v>
      </c>
      <c r="Q6" s="411">
        <f t="shared" ref="Q6:Q50" si="2">N6/J6</f>
        <v>1.0848512585812358</v>
      </c>
      <c r="R6" s="400">
        <v>13238000</v>
      </c>
      <c r="S6" s="400">
        <v>10018000</v>
      </c>
      <c r="T6" s="400">
        <f>+R6-S6</f>
        <v>3220000</v>
      </c>
      <c r="U6" s="409">
        <f t="shared" ref="U6:U50" si="3">R6/N6</f>
        <v>1.1169422882213973</v>
      </c>
    </row>
    <row r="7" spans="1:24">
      <c r="A7" t="s">
        <v>1201</v>
      </c>
      <c r="B7" s="400">
        <v>200000</v>
      </c>
      <c r="C7" s="400">
        <v>250000</v>
      </c>
      <c r="D7" s="400">
        <v>23500</v>
      </c>
      <c r="E7" s="400">
        <f t="shared" ref="E7:E8" si="4">+C7-D7</f>
        <v>226500</v>
      </c>
      <c r="F7" s="401">
        <v>1100000</v>
      </c>
      <c r="G7" s="401">
        <v>207000</v>
      </c>
      <c r="H7" s="401">
        <f t="shared" ref="H7:H8" si="5">+F7-G7</f>
        <v>893000</v>
      </c>
      <c r="I7" s="400">
        <v>690000</v>
      </c>
      <c r="J7" s="400">
        <v>690000</v>
      </c>
      <c r="K7" s="400">
        <v>236000</v>
      </c>
      <c r="L7" s="400">
        <f t="shared" ref="L7:L8" si="6">+J7-K7</f>
        <v>454000</v>
      </c>
      <c r="M7" s="409">
        <f t="shared" si="1"/>
        <v>2.76</v>
      </c>
      <c r="N7" s="408">
        <v>370000</v>
      </c>
      <c r="O7" s="408">
        <v>50000</v>
      </c>
      <c r="P7" s="408">
        <f t="shared" ref="P7:P8" si="7">+N7-O7</f>
        <v>320000</v>
      </c>
      <c r="Q7" s="411">
        <f t="shared" si="2"/>
        <v>0.53623188405797106</v>
      </c>
      <c r="R7" s="400">
        <v>380000</v>
      </c>
      <c r="S7" s="400">
        <v>50500</v>
      </c>
      <c r="T7" s="400">
        <f>+R7-S7</f>
        <v>329500</v>
      </c>
      <c r="U7" s="409">
        <f t="shared" si="3"/>
        <v>1.027027027027027</v>
      </c>
    </row>
    <row r="8" spans="1:24">
      <c r="A8" t="s">
        <v>1202</v>
      </c>
      <c r="B8" s="400">
        <v>1120000</v>
      </c>
      <c r="C8" s="400">
        <v>1120000</v>
      </c>
      <c r="D8" s="400">
        <v>1120000</v>
      </c>
      <c r="E8" s="400">
        <f t="shared" si="4"/>
        <v>0</v>
      </c>
      <c r="F8" s="401">
        <v>1200000</v>
      </c>
      <c r="G8" s="401">
        <v>1200000</v>
      </c>
      <c r="H8" s="401">
        <f t="shared" si="5"/>
        <v>0</v>
      </c>
      <c r="I8" s="400">
        <v>1200000</v>
      </c>
      <c r="J8" s="400">
        <v>1200000</v>
      </c>
      <c r="K8" s="400">
        <v>1200000</v>
      </c>
      <c r="L8" s="400">
        <f t="shared" si="6"/>
        <v>0</v>
      </c>
      <c r="M8" s="409">
        <f t="shared" si="1"/>
        <v>1.0714285714285714</v>
      </c>
      <c r="N8" s="408">
        <v>1260000</v>
      </c>
      <c r="O8" s="408">
        <f>+N8</f>
        <v>1260000</v>
      </c>
      <c r="P8" s="408">
        <f t="shared" si="7"/>
        <v>0</v>
      </c>
      <c r="Q8" s="411">
        <f t="shared" si="2"/>
        <v>1.05</v>
      </c>
      <c r="R8" s="400">
        <v>1325000</v>
      </c>
      <c r="S8" s="400">
        <f>+R8</f>
        <v>1325000</v>
      </c>
      <c r="T8" s="400">
        <f>+R8-S8</f>
        <v>0</v>
      </c>
      <c r="U8" s="409">
        <f t="shared" si="3"/>
        <v>1.0515873015873016</v>
      </c>
    </row>
    <row r="9" spans="1:24">
      <c r="A9" t="s">
        <v>1203</v>
      </c>
      <c r="B9" s="400">
        <f>B6-B7-B8</f>
        <v>8130000</v>
      </c>
      <c r="C9" s="400">
        <f t="shared" ref="C9:T9" si="8">C6-C7-C8</f>
        <v>8130000</v>
      </c>
      <c r="D9" s="400">
        <f t="shared" si="8"/>
        <v>6266900</v>
      </c>
      <c r="E9" s="400">
        <f t="shared" si="8"/>
        <v>1863100</v>
      </c>
      <c r="F9" s="401">
        <f t="shared" si="8"/>
        <v>7930000</v>
      </c>
      <c r="G9" s="401">
        <f t="shared" si="8"/>
        <v>5870500</v>
      </c>
      <c r="H9" s="401">
        <f t="shared" si="8"/>
        <v>2059500</v>
      </c>
      <c r="I9" s="400">
        <f t="shared" si="8"/>
        <v>9035000</v>
      </c>
      <c r="J9" s="400">
        <f t="shared" si="8"/>
        <v>9035000</v>
      </c>
      <c r="K9" s="400" t="e">
        <f t="shared" si="8"/>
        <v>#REF!</v>
      </c>
      <c r="L9" s="400" t="e">
        <f t="shared" si="8"/>
        <v>#REF!</v>
      </c>
      <c r="M9" s="409">
        <f t="shared" si="1"/>
        <v>1.1113161131611315</v>
      </c>
      <c r="N9" s="408">
        <f t="shared" si="8"/>
        <v>10222000</v>
      </c>
      <c r="O9" s="408">
        <f t="shared" si="8"/>
        <v>7649400</v>
      </c>
      <c r="P9" s="408">
        <f t="shared" si="8"/>
        <v>2572600</v>
      </c>
      <c r="Q9" s="411">
        <f t="shared" si="2"/>
        <v>1.1313779745434422</v>
      </c>
      <c r="R9" s="400">
        <f t="shared" si="8"/>
        <v>11533000</v>
      </c>
      <c r="S9" s="400">
        <f t="shared" si="8"/>
        <v>8642500</v>
      </c>
      <c r="T9" s="400">
        <f t="shared" si="8"/>
        <v>2890500</v>
      </c>
      <c r="U9" s="409">
        <f t="shared" si="3"/>
        <v>1.1282527881040891</v>
      </c>
    </row>
    <row r="10" spans="1:24">
      <c r="A10" t="s">
        <v>1204</v>
      </c>
      <c r="B10" s="400">
        <v>1905000</v>
      </c>
      <c r="C10" s="400">
        <v>1905000</v>
      </c>
      <c r="D10" s="400">
        <f>+C10</f>
        <v>1905000</v>
      </c>
      <c r="F10" s="401">
        <v>1905000</v>
      </c>
      <c r="G10" s="401">
        <v>1905000</v>
      </c>
      <c r="I10" s="400">
        <v>1930000</v>
      </c>
      <c r="J10" s="400">
        <v>1930000</v>
      </c>
      <c r="K10" s="400">
        <v>1930000</v>
      </c>
      <c r="M10" s="409">
        <f t="shared" si="1"/>
        <v>1.0131233595800524</v>
      </c>
      <c r="N10" s="408">
        <v>1965000</v>
      </c>
      <c r="O10" s="408">
        <f>+N10</f>
        <v>1965000</v>
      </c>
      <c r="Q10" s="411">
        <f t="shared" si="2"/>
        <v>1.0181347150259068</v>
      </c>
      <c r="R10" s="400">
        <v>2030000</v>
      </c>
      <c r="S10" s="400">
        <f>+R10</f>
        <v>2030000</v>
      </c>
      <c r="U10" s="409">
        <f t="shared" si="3"/>
        <v>1.0330788804071247</v>
      </c>
    </row>
    <row r="11" spans="1:24">
      <c r="M11" s="409"/>
      <c r="Q11" s="411"/>
      <c r="U11" s="409"/>
    </row>
    <row r="12" spans="1:24">
      <c r="A12" t="s">
        <v>1459</v>
      </c>
      <c r="J12" s="400">
        <f>+K12+L12</f>
        <v>43596</v>
      </c>
      <c r="K12" s="400">
        <v>43596</v>
      </c>
      <c r="M12" s="409"/>
      <c r="N12" s="408">
        <f>+O12+P12</f>
        <v>34325</v>
      </c>
      <c r="O12" s="408">
        <v>34325</v>
      </c>
      <c r="Q12" s="411"/>
      <c r="U12" s="409"/>
    </row>
    <row r="13" spans="1:24">
      <c r="A13" t="s">
        <v>1208</v>
      </c>
      <c r="B13" s="400">
        <f>SUM(B14:B18)</f>
        <v>393665</v>
      </c>
      <c r="C13" s="400">
        <f t="shared" ref="C13:T13" si="9">SUM(C14:C18)</f>
        <v>393665</v>
      </c>
      <c r="D13" s="400">
        <f t="shared" si="9"/>
        <v>0</v>
      </c>
      <c r="E13" s="400">
        <f t="shared" si="9"/>
        <v>0</v>
      </c>
      <c r="F13" s="401">
        <f t="shared" si="9"/>
        <v>415336</v>
      </c>
      <c r="G13" s="401">
        <f t="shared" si="9"/>
        <v>0</v>
      </c>
      <c r="H13" s="401">
        <f t="shared" si="9"/>
        <v>0</v>
      </c>
      <c r="I13" s="400">
        <f>SUM(I14:I19)</f>
        <v>433090</v>
      </c>
      <c r="J13" s="400">
        <f>SUM(J14:J19)</f>
        <v>433090</v>
      </c>
      <c r="K13" s="400">
        <f t="shared" si="9"/>
        <v>0</v>
      </c>
      <c r="L13" s="400">
        <f t="shared" si="9"/>
        <v>0</v>
      </c>
      <c r="M13" s="409">
        <f t="shared" si="1"/>
        <v>1.100148603508059</v>
      </c>
      <c r="N13" s="408">
        <f t="shared" si="9"/>
        <v>454028.2</v>
      </c>
      <c r="O13" s="408">
        <f t="shared" si="9"/>
        <v>0</v>
      </c>
      <c r="Q13" s="411">
        <f t="shared" si="2"/>
        <v>1.0483460712553974</v>
      </c>
      <c r="R13" s="400">
        <f>SUM(R14:R19)</f>
        <v>479212</v>
      </c>
      <c r="S13" s="400">
        <f t="shared" si="9"/>
        <v>0</v>
      </c>
      <c r="T13" s="400">
        <f t="shared" si="9"/>
        <v>0</v>
      </c>
      <c r="U13" s="409">
        <f t="shared" si="3"/>
        <v>1.0554674797732828</v>
      </c>
    </row>
    <row r="14" spans="1:24">
      <c r="A14" t="s">
        <v>1209</v>
      </c>
      <c r="B14" s="400">
        <v>16000</v>
      </c>
      <c r="C14" s="400">
        <v>16000</v>
      </c>
      <c r="F14" s="401">
        <v>38210</v>
      </c>
      <c r="I14" s="400">
        <v>39000</v>
      </c>
      <c r="J14" s="400">
        <v>39000</v>
      </c>
      <c r="M14" s="409">
        <f t="shared" si="1"/>
        <v>2.4375</v>
      </c>
      <c r="N14" s="408">
        <v>40000</v>
      </c>
      <c r="Q14" s="411">
        <f t="shared" si="2"/>
        <v>1.0256410256410255</v>
      </c>
      <c r="R14" s="400">
        <v>42000</v>
      </c>
      <c r="U14" s="409">
        <f t="shared" si="3"/>
        <v>1.05</v>
      </c>
    </row>
    <row r="15" spans="1:24">
      <c r="A15" t="s">
        <v>1210</v>
      </c>
      <c r="B15" s="400">
        <v>263700</v>
      </c>
      <c r="C15" s="400">
        <v>263700</v>
      </c>
      <c r="F15" s="401">
        <v>263700</v>
      </c>
      <c r="I15" s="400">
        <v>275700</v>
      </c>
      <c r="J15" s="400">
        <v>275700</v>
      </c>
      <c r="M15" s="409">
        <f t="shared" si="1"/>
        <v>1.0455062571103526</v>
      </c>
      <c r="N15" s="408">
        <f>469000*(0.6278)</f>
        <v>294438.2</v>
      </c>
      <c r="Q15" s="411">
        <f t="shared" si="2"/>
        <v>1.0679659049691694</v>
      </c>
      <c r="R15" s="408">
        <f>490000*(0.6278)</f>
        <v>307622</v>
      </c>
      <c r="U15" s="409">
        <f t="shared" si="3"/>
        <v>1.044776119402985</v>
      </c>
    </row>
    <row r="16" spans="1:24">
      <c r="A16" t="s">
        <v>1211</v>
      </c>
      <c r="B16" s="400">
        <v>83000</v>
      </c>
      <c r="C16" s="400">
        <v>83000</v>
      </c>
      <c r="F16" s="401">
        <v>70000</v>
      </c>
      <c r="I16" s="400">
        <v>75000</v>
      </c>
      <c r="J16" s="400">
        <v>75000</v>
      </c>
      <c r="M16" s="409">
        <f t="shared" si="1"/>
        <v>0.90361445783132532</v>
      </c>
      <c r="N16" s="408">
        <v>75000</v>
      </c>
      <c r="Q16" s="411">
        <f t="shared" si="2"/>
        <v>1</v>
      </c>
      <c r="R16" s="400">
        <v>80000</v>
      </c>
      <c r="U16" s="409">
        <f t="shared" si="3"/>
        <v>1.0666666666666667</v>
      </c>
    </row>
    <row r="17" spans="1:21">
      <c r="A17" t="s">
        <v>1212</v>
      </c>
      <c r="B17" s="400">
        <v>21200</v>
      </c>
      <c r="C17" s="400">
        <v>21200</v>
      </c>
      <c r="F17" s="401">
        <v>26500</v>
      </c>
      <c r="I17" s="400">
        <v>31000</v>
      </c>
      <c r="J17" s="400">
        <v>31000</v>
      </c>
      <c r="M17" s="409">
        <f t="shared" si="1"/>
        <v>1.4622641509433962</v>
      </c>
      <c r="N17" s="408">
        <v>35000</v>
      </c>
      <c r="Q17" s="411">
        <f t="shared" si="2"/>
        <v>1.1290322580645162</v>
      </c>
      <c r="R17" s="400">
        <v>40000</v>
      </c>
      <c r="U17" s="409">
        <f t="shared" si="3"/>
        <v>1.1428571428571428</v>
      </c>
    </row>
    <row r="18" spans="1:21" ht="30">
      <c r="A18" s="37" t="s">
        <v>1213</v>
      </c>
      <c r="B18" s="400">
        <f>13950*0.7</f>
        <v>9765</v>
      </c>
      <c r="C18" s="400">
        <v>9765</v>
      </c>
      <c r="F18" s="401">
        <f>24180*0.7</f>
        <v>16926</v>
      </c>
      <c r="I18" s="400">
        <f>13700*0.7</f>
        <v>9590</v>
      </c>
      <c r="J18" s="400">
        <f>13700*0.7</f>
        <v>9590</v>
      </c>
      <c r="M18" s="409">
        <f t="shared" si="1"/>
        <v>0.98207885304659504</v>
      </c>
      <c r="N18" s="408">
        <f>13700*0.7</f>
        <v>9590</v>
      </c>
      <c r="Q18" s="411">
        <f t="shared" si="2"/>
        <v>1</v>
      </c>
      <c r="R18" s="408">
        <f>13700*0.7</f>
        <v>9590</v>
      </c>
      <c r="U18" s="409">
        <f t="shared" si="3"/>
        <v>1</v>
      </c>
    </row>
    <row r="19" spans="1:21">
      <c r="A19" t="s">
        <v>1458</v>
      </c>
      <c r="I19" s="400">
        <v>2800</v>
      </c>
      <c r="J19" s="400">
        <v>2800</v>
      </c>
      <c r="M19" s="409"/>
      <c r="Q19" s="411">
        <f t="shared" si="2"/>
        <v>0</v>
      </c>
      <c r="U19" s="409"/>
    </row>
    <row r="20" spans="1:21" s="203" customFormat="1">
      <c r="A20" s="203" t="s">
        <v>348</v>
      </c>
      <c r="B20" s="404">
        <f>B6-B13</f>
        <v>9056335</v>
      </c>
      <c r="C20" s="404">
        <f>C6-C13</f>
        <v>9106335</v>
      </c>
      <c r="D20" s="404">
        <v>7154305</v>
      </c>
      <c r="E20" s="404">
        <f>+C20-D20</f>
        <v>1952030</v>
      </c>
      <c r="F20" s="405" t="e">
        <f>+G20+H20</f>
        <v>#REF!</v>
      </c>
      <c r="G20" s="405" t="e">
        <f>'48-CK NSNN'!#REF!</f>
        <v>#REF!</v>
      </c>
      <c r="H20" s="405" t="e">
        <f>'48-CK NSNN'!#REF!</f>
        <v>#REF!</v>
      </c>
      <c r="I20" s="404">
        <f>I6-I13</f>
        <v>10491910</v>
      </c>
      <c r="J20" s="404">
        <f>J6-J13+J12</f>
        <v>10535506</v>
      </c>
      <c r="K20" s="404" t="e">
        <f>+J20-L20</f>
        <v>#REF!</v>
      </c>
      <c r="L20" s="404" t="e">
        <f>'48-CK NSNN'!#REF!</f>
        <v>#REF!</v>
      </c>
      <c r="M20" s="414">
        <f t="shared" si="1"/>
        <v>1.1569425021152857</v>
      </c>
      <c r="N20" s="404">
        <f>N6-N13+N12</f>
        <v>11432296.800000001</v>
      </c>
      <c r="O20" s="412">
        <f>N20-P20</f>
        <v>8722476.8000000007</v>
      </c>
      <c r="P20" s="412">
        <v>2709820</v>
      </c>
      <c r="Q20" s="415">
        <f t="shared" si="2"/>
        <v>1.0851208095747846</v>
      </c>
      <c r="R20" s="404">
        <f>R6-R13</f>
        <v>12758788</v>
      </c>
      <c r="S20" s="404">
        <f>R20-T20</f>
        <v>9726668</v>
      </c>
      <c r="T20" s="404">
        <f>3032120</f>
        <v>3032120</v>
      </c>
      <c r="U20" s="414">
        <f t="shared" si="3"/>
        <v>1.1160301576495109</v>
      </c>
    </row>
    <row r="21" spans="1:21" s="203" customFormat="1">
      <c r="A21" s="203" t="s">
        <v>1214</v>
      </c>
      <c r="B21" s="404">
        <f>B20-B7-B8</f>
        <v>7736335</v>
      </c>
      <c r="C21" s="404">
        <f t="shared" ref="C21:L21" si="10">C20-C7-C8</f>
        <v>7736335</v>
      </c>
      <c r="D21" s="404">
        <f t="shared" si="10"/>
        <v>6010805</v>
      </c>
      <c r="E21" s="404">
        <f t="shared" si="10"/>
        <v>1725530</v>
      </c>
      <c r="F21" s="405" t="e">
        <f t="shared" si="10"/>
        <v>#REF!</v>
      </c>
      <c r="G21" s="405" t="e">
        <f t="shared" si="10"/>
        <v>#REF!</v>
      </c>
      <c r="H21" s="405" t="e">
        <f t="shared" si="10"/>
        <v>#REF!</v>
      </c>
      <c r="I21" s="404">
        <f t="shared" si="10"/>
        <v>8601910</v>
      </c>
      <c r="J21" s="404">
        <f t="shared" si="10"/>
        <v>8645506</v>
      </c>
      <c r="K21" s="404" t="e">
        <f t="shared" si="10"/>
        <v>#REF!</v>
      </c>
      <c r="L21" s="404" t="e">
        <f t="shared" si="10"/>
        <v>#REF!</v>
      </c>
      <c r="M21" s="414">
        <f t="shared" si="1"/>
        <v>1.1175196006894739</v>
      </c>
      <c r="N21" s="412">
        <f>N20-N7-N8-N12</f>
        <v>9767971.8000000007</v>
      </c>
      <c r="O21" s="412">
        <f>O20-O7-O8-O12</f>
        <v>7378151.8000000007</v>
      </c>
      <c r="P21" s="412">
        <f>P20-P7-P8-P12</f>
        <v>2389820</v>
      </c>
      <c r="Q21" s="415">
        <f t="shared" si="2"/>
        <v>1.1298322851201539</v>
      </c>
      <c r="R21" s="412">
        <f>R20-R7-R8-R12</f>
        <v>11053788</v>
      </c>
      <c r="S21" s="412">
        <f>S20-S7-S8-S12</f>
        <v>8351168</v>
      </c>
      <c r="T21" s="412">
        <f>T20-T7-T8-T12</f>
        <v>2702620</v>
      </c>
      <c r="U21" s="414">
        <f t="shared" si="3"/>
        <v>1.1316359451406277</v>
      </c>
    </row>
    <row r="22" spans="1:21">
      <c r="M22" s="409"/>
      <c r="Q22" s="411"/>
      <c r="U22" s="409"/>
    </row>
    <row r="23" spans="1:21">
      <c r="A23" t="s">
        <v>1215</v>
      </c>
      <c r="B23" s="400">
        <v>266017</v>
      </c>
      <c r="C23" s="400">
        <v>266017</v>
      </c>
      <c r="D23" s="400">
        <v>266017</v>
      </c>
      <c r="F23" s="401">
        <v>266017</v>
      </c>
      <c r="G23" s="401">
        <v>266017</v>
      </c>
      <c r="I23" s="400">
        <v>266017</v>
      </c>
      <c r="J23" s="400">
        <v>266017</v>
      </c>
      <c r="K23" s="400">
        <v>266017</v>
      </c>
      <c r="M23" s="409">
        <f t="shared" si="1"/>
        <v>1</v>
      </c>
      <c r="N23" s="408">
        <v>266017</v>
      </c>
      <c r="O23" s="408">
        <v>266017</v>
      </c>
      <c r="Q23" s="411">
        <f t="shared" si="2"/>
        <v>1</v>
      </c>
      <c r="R23" s="400">
        <v>266017</v>
      </c>
      <c r="S23" s="400">
        <v>266017</v>
      </c>
      <c r="U23" s="409">
        <f t="shared" si="3"/>
        <v>1</v>
      </c>
    </row>
    <row r="24" spans="1:21">
      <c r="M24" s="409"/>
      <c r="Q24" s="411"/>
      <c r="U24" s="409"/>
    </row>
    <row r="25" spans="1:21" s="203" customFormat="1">
      <c r="A25" s="203" t="s">
        <v>757</v>
      </c>
      <c r="B25" s="404">
        <f>B20+B23</f>
        <v>9322352</v>
      </c>
      <c r="C25" s="404">
        <f t="shared" ref="C25:S25" si="11">C20+C23</f>
        <v>9372352</v>
      </c>
      <c r="D25" s="404">
        <f t="shared" si="11"/>
        <v>7420322</v>
      </c>
      <c r="E25" s="404">
        <f t="shared" si="11"/>
        <v>1952030</v>
      </c>
      <c r="F25" s="405" t="e">
        <f t="shared" si="11"/>
        <v>#REF!</v>
      </c>
      <c r="G25" s="405" t="e">
        <f t="shared" si="11"/>
        <v>#REF!</v>
      </c>
      <c r="H25" s="405" t="e">
        <f t="shared" si="11"/>
        <v>#REF!</v>
      </c>
      <c r="I25" s="404">
        <f t="shared" si="11"/>
        <v>10757927</v>
      </c>
      <c r="J25" s="404">
        <f t="shared" si="11"/>
        <v>10801523</v>
      </c>
      <c r="K25" s="404" t="e">
        <f t="shared" si="11"/>
        <v>#REF!</v>
      </c>
      <c r="L25" s="404" t="e">
        <f t="shared" si="11"/>
        <v>#REF!</v>
      </c>
      <c r="M25" s="414">
        <f t="shared" si="1"/>
        <v>1.1524879774041776</v>
      </c>
      <c r="N25" s="412">
        <f t="shared" si="11"/>
        <v>11698313.800000001</v>
      </c>
      <c r="O25" s="412">
        <f t="shared" si="11"/>
        <v>8988493.8000000007</v>
      </c>
      <c r="P25" s="412">
        <f t="shared" si="11"/>
        <v>2709820</v>
      </c>
      <c r="Q25" s="415">
        <f t="shared" si="2"/>
        <v>1.0830244771964102</v>
      </c>
      <c r="R25" s="404">
        <f>R20+R23</f>
        <v>13024805</v>
      </c>
      <c r="S25" s="404">
        <f t="shared" si="11"/>
        <v>9992685</v>
      </c>
      <c r="T25" s="404">
        <f>T20+T23</f>
        <v>3032120</v>
      </c>
      <c r="U25" s="414">
        <f t="shared" si="3"/>
        <v>1.1133916582063306</v>
      </c>
    </row>
    <row r="26" spans="1:21">
      <c r="A26" t="s">
        <v>1240</v>
      </c>
      <c r="C26" s="400">
        <f>+D26+E26</f>
        <v>0</v>
      </c>
      <c r="D26" s="400">
        <f>2918024+100000</f>
        <v>3018024</v>
      </c>
      <c r="E26" s="400">
        <f>-D26</f>
        <v>-3018024</v>
      </c>
      <c r="J26" s="400">
        <f>+K26+L26</f>
        <v>0</v>
      </c>
      <c r="K26" s="400">
        <v>2918024</v>
      </c>
      <c r="L26" s="400">
        <f>-K26</f>
        <v>-2918024</v>
      </c>
      <c r="M26" s="409"/>
      <c r="O26" s="408">
        <v>2918024</v>
      </c>
      <c r="P26" s="408">
        <f>-O26</f>
        <v>-2918024</v>
      </c>
      <c r="Q26" s="411"/>
      <c r="S26" s="400">
        <v>2918024</v>
      </c>
      <c r="T26" s="400">
        <f>-S26</f>
        <v>-2918024</v>
      </c>
      <c r="U26" s="409"/>
    </row>
    <row r="27" spans="1:21">
      <c r="A27" t="s">
        <v>1241</v>
      </c>
      <c r="J27" s="400">
        <f>+K27+L27</f>
        <v>0</v>
      </c>
      <c r="K27" s="400">
        <v>41257</v>
      </c>
      <c r="L27" s="400">
        <f>-K27</f>
        <v>-41257</v>
      </c>
      <c r="M27" s="409"/>
      <c r="O27" s="408">
        <v>108658</v>
      </c>
      <c r="P27" s="408">
        <f>-O27</f>
        <v>-108658</v>
      </c>
      <c r="Q27" s="411"/>
      <c r="S27" s="400">
        <v>203081</v>
      </c>
      <c r="T27" s="400">
        <f>-S27</f>
        <v>-203081</v>
      </c>
      <c r="U27" s="409"/>
    </row>
    <row r="28" spans="1:21">
      <c r="A28" t="s">
        <v>1237</v>
      </c>
      <c r="I28" s="400">
        <v>524100</v>
      </c>
      <c r="J28" s="400">
        <v>524100</v>
      </c>
      <c r="K28" s="400">
        <v>524100</v>
      </c>
      <c r="M28" s="409"/>
      <c r="N28" s="408">
        <v>705840</v>
      </c>
      <c r="O28" s="408">
        <f>+N28</f>
        <v>705840</v>
      </c>
      <c r="Q28" s="411">
        <f t="shared" si="2"/>
        <v>1.3467658843732113</v>
      </c>
      <c r="R28" s="400">
        <v>583631</v>
      </c>
      <c r="S28" s="400">
        <v>583631</v>
      </c>
      <c r="U28" s="409">
        <f t="shared" si="3"/>
        <v>0.82686019494503005</v>
      </c>
    </row>
    <row r="29" spans="1:21" s="296" customFormat="1">
      <c r="A29" s="296" t="s">
        <v>1232</v>
      </c>
      <c r="B29" s="416"/>
      <c r="C29" s="416">
        <f>+D29+E29</f>
        <v>123034</v>
      </c>
      <c r="D29" s="416">
        <v>123034</v>
      </c>
      <c r="E29" s="416"/>
      <c r="F29" s="416"/>
      <c r="G29" s="416"/>
      <c r="H29" s="416"/>
      <c r="I29" s="416">
        <v>434100</v>
      </c>
      <c r="J29" s="416">
        <v>434100</v>
      </c>
      <c r="K29" s="416">
        <v>434100</v>
      </c>
      <c r="L29" s="416">
        <f>+J29-K29</f>
        <v>0</v>
      </c>
      <c r="M29" s="417">
        <f t="shared" si="1"/>
        <v>3.5282929921810231</v>
      </c>
      <c r="N29" s="416">
        <v>397188</v>
      </c>
      <c r="O29" s="416">
        <f>+N29-P29</f>
        <v>397188</v>
      </c>
      <c r="P29" s="416"/>
      <c r="Q29" s="417">
        <f t="shared" si="2"/>
        <v>0.91496890117484453</v>
      </c>
      <c r="R29" s="416">
        <v>336392</v>
      </c>
      <c r="S29" s="416">
        <v>336392</v>
      </c>
      <c r="T29" s="416"/>
      <c r="U29" s="417">
        <f t="shared" si="3"/>
        <v>0.84693394563783397</v>
      </c>
    </row>
    <row r="30" spans="1:21" s="203" customFormat="1">
      <c r="A30" s="203" t="s">
        <v>1270</v>
      </c>
      <c r="B30" s="404">
        <f t="shared" ref="B30:J30" si="12">B25-B26-B29+B28</f>
        <v>9322352</v>
      </c>
      <c r="C30" s="404">
        <f t="shared" si="12"/>
        <v>9249318</v>
      </c>
      <c r="D30" s="404">
        <f t="shared" si="12"/>
        <v>4279264</v>
      </c>
      <c r="E30" s="404">
        <f t="shared" si="12"/>
        <v>4970054</v>
      </c>
      <c r="F30" s="405" t="e">
        <f t="shared" si="12"/>
        <v>#REF!</v>
      </c>
      <c r="G30" s="405" t="e">
        <f t="shared" si="12"/>
        <v>#REF!</v>
      </c>
      <c r="H30" s="405" t="e">
        <f t="shared" si="12"/>
        <v>#REF!</v>
      </c>
      <c r="I30" s="404">
        <f t="shared" si="12"/>
        <v>10847927</v>
      </c>
      <c r="J30" s="404">
        <f t="shared" si="12"/>
        <v>10891523</v>
      </c>
      <c r="K30" s="404" t="e">
        <f>K25-K26-K29-K27+K28</f>
        <v>#REF!</v>
      </c>
      <c r="L30" s="404" t="e">
        <f>L25-L26-L29-L27+L28</f>
        <v>#REF!</v>
      </c>
      <c r="M30" s="409">
        <f t="shared" si="1"/>
        <v>1.1775487662982287</v>
      </c>
      <c r="N30" s="412">
        <f>N25-N26-N29+N28</f>
        <v>12006965.800000001</v>
      </c>
      <c r="O30" s="412">
        <f>O25-O26-O29-O27+O28</f>
        <v>6270463.8000000007</v>
      </c>
      <c r="P30" s="412">
        <f>P25-P26-P29-P27+P28</f>
        <v>5736502</v>
      </c>
      <c r="Q30" s="411">
        <f t="shared" si="2"/>
        <v>1.1024138497435116</v>
      </c>
      <c r="R30" s="404">
        <f>R25-R26-R29+R28</f>
        <v>13272044</v>
      </c>
      <c r="S30" s="404">
        <f>S25-S26-S29-S27+S28</f>
        <v>7118819</v>
      </c>
      <c r="T30" s="404">
        <f>T25-T26-T29-T27+T28</f>
        <v>6153225</v>
      </c>
      <c r="U30" s="409">
        <f t="shared" si="3"/>
        <v>1.1053620224353433</v>
      </c>
    </row>
    <row r="31" spans="1:21" s="203" customFormat="1">
      <c r="A31" s="203" t="s">
        <v>1218</v>
      </c>
      <c r="B31" s="404">
        <f>B32+B35+B38+B39</f>
        <v>2275790</v>
      </c>
      <c r="C31" s="404">
        <f t="shared" ref="C31:E31" si="13">C32+C35+C38+C39</f>
        <v>2194840</v>
      </c>
      <c r="D31" s="404">
        <f t="shared" si="13"/>
        <v>1622555</v>
      </c>
      <c r="E31" s="404">
        <f t="shared" si="13"/>
        <v>572285</v>
      </c>
      <c r="F31" s="405"/>
      <c r="G31" s="405"/>
      <c r="H31" s="405"/>
      <c r="I31" s="404">
        <f>I32+I35+I38+I39</f>
        <v>2993620</v>
      </c>
      <c r="J31" s="404">
        <f t="shared" ref="J31:T31" si="14">J32+J35+J38+J39</f>
        <v>3007216</v>
      </c>
      <c r="K31" s="404">
        <f t="shared" si="14"/>
        <v>2288302</v>
      </c>
      <c r="L31" s="404">
        <f>L32+L35+L38+L39</f>
        <v>718914</v>
      </c>
      <c r="M31" s="414">
        <f t="shared" si="1"/>
        <v>1.3701299411346612</v>
      </c>
      <c r="N31" s="412">
        <f t="shared" si="14"/>
        <v>3119483</v>
      </c>
      <c r="O31" s="412">
        <f>O32+O35+O38+O39</f>
        <v>2504852</v>
      </c>
      <c r="P31" s="412">
        <f t="shared" si="14"/>
        <v>614631</v>
      </c>
      <c r="Q31" s="415">
        <f t="shared" si="2"/>
        <v>1.0373325361397385</v>
      </c>
      <c r="R31" s="404">
        <f t="shared" si="14"/>
        <v>3214395</v>
      </c>
      <c r="S31" s="404">
        <f t="shared" si="14"/>
        <v>2563144</v>
      </c>
      <c r="T31" s="404">
        <f t="shared" si="14"/>
        <v>651251</v>
      </c>
      <c r="U31" s="414">
        <f t="shared" si="3"/>
        <v>1.0304255544909204</v>
      </c>
    </row>
    <row r="32" spans="1:21">
      <c r="A32" t="s">
        <v>1219</v>
      </c>
      <c r="B32" s="400">
        <v>955790</v>
      </c>
      <c r="C32" s="400">
        <v>829840</v>
      </c>
      <c r="D32" s="400">
        <v>584055</v>
      </c>
      <c r="E32" s="400">
        <f>+C32-D32</f>
        <v>245785</v>
      </c>
      <c r="I32" s="400">
        <f>I33+I34</f>
        <v>1013620</v>
      </c>
      <c r="J32" s="400">
        <f t="shared" ref="J32:T32" si="15">J33+J34</f>
        <v>623116</v>
      </c>
      <c r="K32" s="400">
        <f t="shared" si="15"/>
        <v>358202</v>
      </c>
      <c r="L32" s="400">
        <f t="shared" si="15"/>
        <v>264914</v>
      </c>
      <c r="M32" s="409">
        <f t="shared" si="1"/>
        <v>0.75088691796008866</v>
      </c>
      <c r="N32" s="408">
        <f t="shared" si="15"/>
        <v>793643</v>
      </c>
      <c r="O32" s="408">
        <f>O33+O34</f>
        <v>499012</v>
      </c>
      <c r="P32" s="408">
        <f t="shared" si="15"/>
        <v>294631</v>
      </c>
      <c r="Q32" s="411">
        <f t="shared" si="2"/>
        <v>1.2736681452570628</v>
      </c>
      <c r="R32" s="400">
        <f t="shared" si="15"/>
        <v>935764</v>
      </c>
      <c r="S32" s="400">
        <f>S33+S34</f>
        <v>614013</v>
      </c>
      <c r="T32" s="400">
        <f t="shared" si="15"/>
        <v>321751</v>
      </c>
      <c r="U32" s="409">
        <f t="shared" si="3"/>
        <v>1.1790742185088257</v>
      </c>
    </row>
    <row r="33" spans="1:21">
      <c r="A33" t="s">
        <v>1220</v>
      </c>
      <c r="I33" s="400">
        <f>+I29</f>
        <v>434100</v>
      </c>
      <c r="J33" s="400">
        <f>+K33+L33</f>
        <v>0</v>
      </c>
      <c r="M33" s="409"/>
      <c r="N33" s="408">
        <f>+O33+P33</f>
        <v>0</v>
      </c>
      <c r="Q33" s="411"/>
      <c r="R33" s="400">
        <f>+S33+T33</f>
        <v>0</v>
      </c>
      <c r="U33" s="409" t="e">
        <f t="shared" si="3"/>
        <v>#DIV/0!</v>
      </c>
    </row>
    <row r="34" spans="1:21" s="203" customFormat="1">
      <c r="A34" s="203" t="s">
        <v>1221</v>
      </c>
      <c r="B34" s="404"/>
      <c r="C34" s="404"/>
      <c r="D34" s="404"/>
      <c r="E34" s="404"/>
      <c r="F34" s="405"/>
      <c r="G34" s="405"/>
      <c r="H34" s="405"/>
      <c r="I34" s="404">
        <v>579520</v>
      </c>
      <c r="J34" s="404">
        <f>+K34+L34</f>
        <v>623116</v>
      </c>
      <c r="K34" s="404">
        <v>358202</v>
      </c>
      <c r="L34" s="404">
        <v>264914</v>
      </c>
      <c r="M34" s="414"/>
      <c r="N34" s="412">
        <f>+O34+P34</f>
        <v>793643</v>
      </c>
      <c r="O34" s="412">
        <v>499012</v>
      </c>
      <c r="P34" s="412">
        <f>289631+5000</f>
        <v>294631</v>
      </c>
      <c r="Q34" s="415">
        <f t="shared" si="2"/>
        <v>1.2736681452570628</v>
      </c>
      <c r="R34" s="404">
        <f>+S34+T34</f>
        <v>935764</v>
      </c>
      <c r="S34" s="412">
        <v>614013</v>
      </c>
      <c r="T34" s="404">
        <f>316751+5000</f>
        <v>321751</v>
      </c>
      <c r="U34" s="414">
        <f t="shared" si="3"/>
        <v>1.1790742185088257</v>
      </c>
    </row>
    <row r="35" spans="1:21">
      <c r="A35" t="s">
        <v>1222</v>
      </c>
      <c r="B35" s="400">
        <v>200000</v>
      </c>
      <c r="C35" s="400">
        <v>245000</v>
      </c>
      <c r="D35" s="400">
        <v>18500</v>
      </c>
      <c r="E35" s="400">
        <f>+C35-D35</f>
        <v>226500</v>
      </c>
      <c r="I35" s="400">
        <v>690000</v>
      </c>
      <c r="J35" s="400">
        <v>660000</v>
      </c>
      <c r="K35" s="400">
        <f>+K36+K37</f>
        <v>206000</v>
      </c>
      <c r="L35" s="400">
        <v>454000</v>
      </c>
      <c r="M35" s="409">
        <f t="shared" si="1"/>
        <v>2.693877551020408</v>
      </c>
      <c r="N35" s="408">
        <f>N7-N41</f>
        <v>360000</v>
      </c>
      <c r="O35" s="408">
        <f>O7-O41</f>
        <v>40000</v>
      </c>
      <c r="P35" s="408">
        <f>+N35-O35</f>
        <v>320000</v>
      </c>
      <c r="Q35" s="411">
        <f t="shared" si="2"/>
        <v>0.54545454545454541</v>
      </c>
      <c r="R35" s="400">
        <f>R7-R41</f>
        <v>370000</v>
      </c>
      <c r="S35" s="400">
        <f>S7-S41</f>
        <v>40500</v>
      </c>
      <c r="T35" s="400">
        <f>+R35-S35</f>
        <v>329500</v>
      </c>
      <c r="U35" s="409">
        <f t="shared" si="3"/>
        <v>1.0277777777777777</v>
      </c>
    </row>
    <row r="36" spans="1:21">
      <c r="A36" t="s">
        <v>1238</v>
      </c>
      <c r="M36" s="409"/>
      <c r="N36" s="408">
        <f>+O36+P36</f>
        <v>0</v>
      </c>
      <c r="Q36" s="411"/>
      <c r="U36" s="409"/>
    </row>
    <row r="37" spans="1:21">
      <c r="A37" t="s">
        <v>1239</v>
      </c>
      <c r="J37" s="400">
        <f>+J35-J36</f>
        <v>660000</v>
      </c>
      <c r="K37" s="400">
        <v>206000</v>
      </c>
      <c r="L37" s="400">
        <f>+L35-L36</f>
        <v>454000</v>
      </c>
      <c r="M37" s="409"/>
      <c r="N37" s="408">
        <f>+O37+P37</f>
        <v>0</v>
      </c>
      <c r="Q37" s="411">
        <f t="shared" si="2"/>
        <v>0</v>
      </c>
      <c r="U37" s="409"/>
    </row>
    <row r="38" spans="1:21">
      <c r="A38" t="s">
        <v>1223</v>
      </c>
      <c r="B38" s="400">
        <v>1120000</v>
      </c>
      <c r="C38" s="400">
        <v>1120000</v>
      </c>
      <c r="D38" s="400">
        <v>1020000</v>
      </c>
      <c r="E38" s="400">
        <v>100000</v>
      </c>
      <c r="I38" s="400">
        <v>1200000</v>
      </c>
      <c r="J38" s="400">
        <v>1200000</v>
      </c>
      <c r="K38" s="400">
        <v>1200000</v>
      </c>
      <c r="M38" s="409">
        <f t="shared" si="1"/>
        <v>1.0714285714285714</v>
      </c>
      <c r="N38" s="408">
        <f>N8</f>
        <v>1260000</v>
      </c>
      <c r="O38" s="408">
        <f>N38</f>
        <v>1260000</v>
      </c>
      <c r="Q38" s="411">
        <f t="shared" si="2"/>
        <v>1.05</v>
      </c>
      <c r="R38" s="400">
        <f>R8</f>
        <v>1325000</v>
      </c>
      <c r="S38" s="400">
        <f>R38</f>
        <v>1325000</v>
      </c>
      <c r="U38" s="409">
        <f t="shared" si="3"/>
        <v>1.0515873015873016</v>
      </c>
    </row>
    <row r="39" spans="1:21">
      <c r="A39" t="s">
        <v>1236</v>
      </c>
      <c r="I39" s="400">
        <f>524100-I33</f>
        <v>90000</v>
      </c>
      <c r="J39" s="400">
        <f>+K39+L39</f>
        <v>524100</v>
      </c>
      <c r="K39" s="401">
        <f>K28</f>
        <v>524100</v>
      </c>
      <c r="L39" s="401"/>
      <c r="M39" s="409"/>
      <c r="N39" s="408">
        <f>+O39+P39</f>
        <v>705840</v>
      </c>
      <c r="O39" s="408">
        <f>O28</f>
        <v>705840</v>
      </c>
      <c r="P39" s="408">
        <f>-P29</f>
        <v>0</v>
      </c>
      <c r="Q39" s="411">
        <f t="shared" si="2"/>
        <v>1.3467658843732113</v>
      </c>
      <c r="R39" s="400">
        <f>+S39+T39</f>
        <v>583631</v>
      </c>
      <c r="S39" s="400">
        <f>S28</f>
        <v>583631</v>
      </c>
      <c r="U39" s="409">
        <f t="shared" si="3"/>
        <v>0.82686019494503005</v>
      </c>
    </row>
    <row r="40" spans="1:21" s="203" customFormat="1">
      <c r="A40" s="203" t="s">
        <v>96</v>
      </c>
      <c r="B40" s="404">
        <v>6861302</v>
      </c>
      <c r="C40" s="404">
        <f>+D40+E40</f>
        <v>6861302</v>
      </c>
      <c r="D40" s="404">
        <v>2559025</v>
      </c>
      <c r="E40" s="404">
        <v>4302277</v>
      </c>
      <c r="F40" s="405"/>
      <c r="G40" s="405"/>
      <c r="H40" s="405"/>
      <c r="I40" s="404">
        <v>7194610</v>
      </c>
      <c r="J40" s="404">
        <f>+K40+L40</f>
        <v>7179056</v>
      </c>
      <c r="K40" s="404">
        <v>2627125</v>
      </c>
      <c r="L40" s="404">
        <v>4551931</v>
      </c>
      <c r="M40" s="414">
        <f t="shared" si="1"/>
        <v>1.0463110354273868</v>
      </c>
      <c r="N40" s="412">
        <f>+O40+P40</f>
        <v>7549411.1239999998</v>
      </c>
      <c r="O40" s="412">
        <f>O30-O31-O46-O47-O48-O49</f>
        <v>2710703.1240000003</v>
      </c>
      <c r="P40" s="412">
        <v>4838708</v>
      </c>
      <c r="Q40" s="415">
        <f t="shared" si="2"/>
        <v>1.0515882762301896</v>
      </c>
      <c r="R40" s="404">
        <f>+S40+T40</f>
        <v>8013912.0250000004</v>
      </c>
      <c r="S40" s="412">
        <f>S30-S31-S46-S47-S48-S49</f>
        <v>2828797.0250000004</v>
      </c>
      <c r="T40" s="404">
        <f>5184615+500</f>
        <v>5185115</v>
      </c>
      <c r="U40" s="414">
        <f t="shared" si="3"/>
        <v>1.0615280971416865</v>
      </c>
    </row>
    <row r="41" spans="1:21" s="389" customFormat="1">
      <c r="A41" s="389" t="s">
        <v>1231</v>
      </c>
      <c r="B41" s="406"/>
      <c r="C41" s="406">
        <v>5000</v>
      </c>
      <c r="D41" s="406">
        <v>5000</v>
      </c>
      <c r="E41" s="406">
        <f>+C41-D41</f>
        <v>0</v>
      </c>
      <c r="F41" s="407"/>
      <c r="G41" s="407"/>
      <c r="H41" s="407"/>
      <c r="I41" s="406"/>
      <c r="J41" s="406">
        <v>30000</v>
      </c>
      <c r="K41" s="406">
        <v>30000</v>
      </c>
      <c r="L41" s="406">
        <f>+J41-K41</f>
        <v>0</v>
      </c>
      <c r="M41" s="409">
        <f t="shared" si="1"/>
        <v>6</v>
      </c>
      <c r="N41" s="413">
        <v>10000</v>
      </c>
      <c r="O41" s="413">
        <v>10000</v>
      </c>
      <c r="P41" s="413"/>
      <c r="Q41" s="411">
        <f t="shared" si="2"/>
        <v>0.33333333333333331</v>
      </c>
      <c r="R41" s="406">
        <v>10000</v>
      </c>
      <c r="S41" s="406">
        <f>+R41</f>
        <v>10000</v>
      </c>
      <c r="T41" s="406"/>
      <c r="U41" s="409">
        <f t="shared" si="3"/>
        <v>1</v>
      </c>
    </row>
    <row r="42" spans="1:21" s="389" customFormat="1">
      <c r="A42" s="389" t="s">
        <v>1224</v>
      </c>
      <c r="B42" s="406">
        <v>2832548</v>
      </c>
      <c r="C42" s="406">
        <v>2832548</v>
      </c>
      <c r="D42" s="406">
        <v>660310</v>
      </c>
      <c r="E42" s="406">
        <f t="shared" ref="E42:E45" si="16">+C42-D42</f>
        <v>2172238</v>
      </c>
      <c r="F42" s="407"/>
      <c r="G42" s="407"/>
      <c r="H42" s="486"/>
      <c r="I42" s="406">
        <v>3008759</v>
      </c>
      <c r="J42" s="406">
        <f>+I42</f>
        <v>3008759</v>
      </c>
      <c r="K42" s="406">
        <v>695228</v>
      </c>
      <c r="L42" s="406">
        <f t="shared" ref="L42:L44" si="17">+J42-K42</f>
        <v>2313531</v>
      </c>
      <c r="M42" s="409">
        <f t="shared" si="1"/>
        <v>1.0622093606180725</v>
      </c>
      <c r="N42" s="408">
        <f>(N40*(I42/I40))</f>
        <v>3157135.5033886638</v>
      </c>
      <c r="O42" s="413">
        <f>+N42-P42</f>
        <v>640202.50338866375</v>
      </c>
      <c r="P42" s="413">
        <v>2516933</v>
      </c>
      <c r="Q42" s="411">
        <f t="shared" si="2"/>
        <v>1.0493148515346904</v>
      </c>
      <c r="R42" s="406">
        <f>R40*(I42/I40)</f>
        <v>3351388.0433306289</v>
      </c>
      <c r="S42" s="406">
        <f>+R42-T42</f>
        <v>589915.04333062889</v>
      </c>
      <c r="T42" s="406">
        <v>2761473</v>
      </c>
      <c r="U42" s="409">
        <f t="shared" si="3"/>
        <v>1.0615280971416865</v>
      </c>
    </row>
    <row r="43" spans="1:21" s="389" customFormat="1">
      <c r="A43" s="389" t="s">
        <v>1225</v>
      </c>
      <c r="B43" s="406">
        <v>25960</v>
      </c>
      <c r="C43" s="406">
        <v>25960</v>
      </c>
      <c r="D43" s="406">
        <v>25960</v>
      </c>
      <c r="E43" s="406">
        <f t="shared" si="16"/>
        <v>0</v>
      </c>
      <c r="F43" s="407"/>
      <c r="G43" s="407"/>
      <c r="H43" s="407"/>
      <c r="I43" s="406">
        <v>27586</v>
      </c>
      <c r="J43" s="406">
        <f>+I43</f>
        <v>27586</v>
      </c>
      <c r="K43" s="406">
        <f>+J43</f>
        <v>27586</v>
      </c>
      <c r="L43" s="406">
        <f t="shared" si="17"/>
        <v>0</v>
      </c>
      <c r="M43" s="409">
        <f t="shared" si="1"/>
        <v>1.0626348228043143</v>
      </c>
      <c r="N43" s="408">
        <f>N40*(I43/I40)</f>
        <v>28946.399494435973</v>
      </c>
      <c r="O43" s="413">
        <f>+N43</f>
        <v>28946.399494435973</v>
      </c>
      <c r="P43" s="413"/>
      <c r="Q43" s="411">
        <f t="shared" si="2"/>
        <v>1.0493148515346906</v>
      </c>
      <c r="R43" s="406">
        <f>R40*(I43/I40)</f>
        <v>30727.416374431694</v>
      </c>
      <c r="S43" s="406">
        <f>+R43</f>
        <v>30727.416374431694</v>
      </c>
      <c r="T43" s="406"/>
      <c r="U43" s="409"/>
    </row>
    <row r="44" spans="1:21" s="389" customFormat="1">
      <c r="A44" s="389" t="s">
        <v>1226</v>
      </c>
      <c r="B44" s="406">
        <v>118990</v>
      </c>
      <c r="C44" s="406">
        <v>150930</v>
      </c>
      <c r="D44" s="406">
        <v>78372</v>
      </c>
      <c r="E44" s="406">
        <f t="shared" si="16"/>
        <v>72558</v>
      </c>
      <c r="F44" s="407"/>
      <c r="G44" s="407"/>
      <c r="H44" s="407"/>
      <c r="I44" s="406">
        <v>127342</v>
      </c>
      <c r="J44" s="406">
        <v>152674</v>
      </c>
      <c r="K44" s="406">
        <v>78422</v>
      </c>
      <c r="L44" s="406">
        <f t="shared" si="17"/>
        <v>74252</v>
      </c>
      <c r="M44" s="409">
        <f t="shared" si="1"/>
        <v>1.0115550255085139</v>
      </c>
      <c r="N44" s="408">
        <f t="shared" ref="N44" si="18">+O44+P44</f>
        <v>156658</v>
      </c>
      <c r="O44" s="413">
        <f>K44+1000</f>
        <v>79422</v>
      </c>
      <c r="P44" s="413">
        <v>77236</v>
      </c>
      <c r="Q44" s="411">
        <f t="shared" si="2"/>
        <v>1.0260948164061989</v>
      </c>
      <c r="R44" s="406">
        <f t="shared" ref="R44" si="19">+S44+T44</f>
        <v>162389</v>
      </c>
      <c r="S44" s="406">
        <f>O44+2000</f>
        <v>81422</v>
      </c>
      <c r="T44" s="406">
        <v>80967</v>
      </c>
      <c r="U44" s="409">
        <f t="shared" si="3"/>
        <v>1.0365828747973291</v>
      </c>
    </row>
    <row r="45" spans="1:21" s="389" customFormat="1">
      <c r="A45" s="389" t="s">
        <v>1227</v>
      </c>
      <c r="B45" s="406">
        <f>+B40-B41-B42-B43-B44</f>
        <v>3883804</v>
      </c>
      <c r="C45" s="406">
        <f>+C40-C41-C42-C43-C44</f>
        <v>3846864</v>
      </c>
      <c r="D45" s="406">
        <f>+D40-D41-D42-D43-D44</f>
        <v>1789383</v>
      </c>
      <c r="E45" s="406">
        <f t="shared" si="16"/>
        <v>2057481</v>
      </c>
      <c r="F45" s="407"/>
      <c r="G45" s="407"/>
      <c r="H45" s="407"/>
      <c r="I45" s="406">
        <f>I40-I41-I42-I43-I44</f>
        <v>4030923</v>
      </c>
      <c r="J45" s="406">
        <f t="shared" ref="J45:T45" si="20">J40-J41-J42-J43-J44</f>
        <v>3960037</v>
      </c>
      <c r="K45" s="406">
        <f t="shared" si="20"/>
        <v>1795889</v>
      </c>
      <c r="L45" s="406">
        <f t="shared" si="20"/>
        <v>2164148</v>
      </c>
      <c r="M45" s="409">
        <f t="shared" si="1"/>
        <v>1.029419547974662</v>
      </c>
      <c r="N45" s="413">
        <f t="shared" si="20"/>
        <v>4196671.2211169004</v>
      </c>
      <c r="O45" s="413">
        <f t="shared" si="20"/>
        <v>1952132.2211169007</v>
      </c>
      <c r="P45" s="413">
        <f t="shared" si="20"/>
        <v>2244539</v>
      </c>
      <c r="Q45" s="411">
        <f t="shared" si="2"/>
        <v>1.0597555581215277</v>
      </c>
      <c r="R45" s="406">
        <f t="shared" si="20"/>
        <v>4459407.56529494</v>
      </c>
      <c r="S45" s="406">
        <f t="shared" si="20"/>
        <v>2116732.5652949396</v>
      </c>
      <c r="T45" s="406">
        <f t="shared" si="20"/>
        <v>2342675</v>
      </c>
      <c r="U45" s="409">
        <f t="shared" si="3"/>
        <v>1.0626058917496317</v>
      </c>
    </row>
    <row r="46" spans="1:21">
      <c r="A46" t="s">
        <v>1228</v>
      </c>
      <c r="B46" s="400">
        <v>184000</v>
      </c>
      <c r="C46" s="400">
        <v>189000</v>
      </c>
      <c r="D46" s="400">
        <v>93508</v>
      </c>
      <c r="E46" s="400">
        <f>+C46-D46</f>
        <v>95492</v>
      </c>
      <c r="I46" s="400">
        <v>215160</v>
      </c>
      <c r="J46" s="400">
        <f>+K46+L46</f>
        <v>260714</v>
      </c>
      <c r="K46" s="400">
        <v>96959</v>
      </c>
      <c r="L46" s="400">
        <v>163755</v>
      </c>
      <c r="M46" s="409">
        <f t="shared" si="1"/>
        <v>1.3794391534391535</v>
      </c>
      <c r="N46" s="408">
        <f>+O46+P46</f>
        <v>300986.27600000001</v>
      </c>
      <c r="O46" s="408">
        <f>O30*0.02</f>
        <v>125409.27600000001</v>
      </c>
      <c r="P46" s="408">
        <v>175577</v>
      </c>
      <c r="Q46" s="411">
        <f t="shared" si="2"/>
        <v>1.1544691731169021</v>
      </c>
      <c r="R46" s="408">
        <f>+S46+T46</f>
        <v>365165.47499999998</v>
      </c>
      <c r="S46" s="408">
        <f>S30*0.025</f>
        <v>177970.47500000001</v>
      </c>
      <c r="T46" s="400">
        <v>187195</v>
      </c>
      <c r="U46" s="409">
        <f t="shared" si="3"/>
        <v>1.2132296523712596</v>
      </c>
    </row>
    <row r="47" spans="1:21">
      <c r="A47" t="s">
        <v>1229</v>
      </c>
      <c r="B47" s="400">
        <v>1260</v>
      </c>
      <c r="C47" s="400">
        <v>1260</v>
      </c>
      <c r="D47" s="400">
        <v>1260</v>
      </c>
      <c r="E47" s="400">
        <f t="shared" ref="E47:E49" si="21">+C47-D47</f>
        <v>0</v>
      </c>
      <c r="I47" s="400">
        <v>1260</v>
      </c>
      <c r="J47" s="400">
        <v>1260</v>
      </c>
      <c r="K47" s="400">
        <v>1260</v>
      </c>
      <c r="L47" s="400">
        <f>+J47-K47</f>
        <v>0</v>
      </c>
      <c r="M47" s="409">
        <f t="shared" si="1"/>
        <v>1</v>
      </c>
      <c r="N47" s="408">
        <v>1260</v>
      </c>
      <c r="O47" s="408">
        <v>1260</v>
      </c>
      <c r="Q47" s="411">
        <f t="shared" si="2"/>
        <v>1</v>
      </c>
      <c r="R47" s="400">
        <v>1260</v>
      </c>
      <c r="S47" s="400">
        <v>1260</v>
      </c>
      <c r="U47" s="409">
        <f t="shared" si="3"/>
        <v>1</v>
      </c>
    </row>
    <row r="48" spans="1:21" s="296" customFormat="1">
      <c r="A48" s="296" t="s">
        <v>1230</v>
      </c>
      <c r="B48" s="416">
        <v>0</v>
      </c>
      <c r="C48" s="416"/>
      <c r="D48" s="416"/>
      <c r="E48" s="416">
        <f t="shared" si="21"/>
        <v>0</v>
      </c>
      <c r="F48" s="416"/>
      <c r="G48" s="416"/>
      <c r="H48" s="416"/>
      <c r="I48" s="416">
        <v>420653</v>
      </c>
      <c r="J48" s="416">
        <v>420653</v>
      </c>
      <c r="K48" s="416">
        <f>J48-L48</f>
        <v>335292</v>
      </c>
      <c r="L48" s="416">
        <v>85361</v>
      </c>
      <c r="M48" s="417"/>
      <c r="N48" s="416">
        <f>(N21-B21)/2-30000</f>
        <v>985818.40000000037</v>
      </c>
      <c r="O48" s="416">
        <f>N48-P48</f>
        <v>878232.40000000037</v>
      </c>
      <c r="P48" s="416">
        <v>107586</v>
      </c>
      <c r="Q48" s="417">
        <f t="shared" si="2"/>
        <v>2.3435430152643635</v>
      </c>
      <c r="R48" s="416">
        <f>(R21-B21)/2-50000</f>
        <v>1608726.5</v>
      </c>
      <c r="S48" s="416">
        <f>+R48-T48</f>
        <v>1479062.5</v>
      </c>
      <c r="T48" s="416">
        <v>129664</v>
      </c>
      <c r="U48" s="417">
        <f t="shared" si="3"/>
        <v>1.6318690136033163</v>
      </c>
    </row>
    <row r="49" spans="1:21">
      <c r="A49" t="s">
        <v>1234</v>
      </c>
      <c r="B49" s="400">
        <v>0</v>
      </c>
      <c r="C49" s="400">
        <v>2916</v>
      </c>
      <c r="D49" s="400">
        <v>2916</v>
      </c>
      <c r="E49" s="400">
        <f t="shared" si="21"/>
        <v>0</v>
      </c>
      <c r="I49" s="400">
        <v>22624</v>
      </c>
      <c r="J49" s="400">
        <v>22624</v>
      </c>
      <c r="K49" s="400">
        <f>+J49</f>
        <v>22624</v>
      </c>
      <c r="L49" s="400">
        <f>+J49-K49</f>
        <v>0</v>
      </c>
      <c r="M49" s="409">
        <f t="shared" si="1"/>
        <v>7.7585733882030175</v>
      </c>
      <c r="N49" s="408">
        <f>+O49</f>
        <v>50007</v>
      </c>
      <c r="O49" s="408">
        <v>50007</v>
      </c>
      <c r="Q49" s="411">
        <f t="shared" si="2"/>
        <v>2.2103518387553041</v>
      </c>
      <c r="R49" s="400">
        <f>+S49</f>
        <v>68585</v>
      </c>
      <c r="S49" s="400">
        <v>68585</v>
      </c>
      <c r="U49" s="409">
        <f t="shared" si="3"/>
        <v>1.3715079888815567</v>
      </c>
    </row>
    <row r="50" spans="1:21" s="203" customFormat="1">
      <c r="A50" s="203" t="s">
        <v>1155</v>
      </c>
      <c r="B50" s="404">
        <f t="shared" ref="B50:L50" si="22">B49+B48+B47+B46+B40+B31</f>
        <v>9322352</v>
      </c>
      <c r="C50" s="404">
        <f t="shared" si="22"/>
        <v>9249318</v>
      </c>
      <c r="D50" s="404">
        <f t="shared" si="22"/>
        <v>4279264</v>
      </c>
      <c r="E50" s="404">
        <f t="shared" si="22"/>
        <v>4970054</v>
      </c>
      <c r="F50" s="405">
        <f t="shared" si="22"/>
        <v>0</v>
      </c>
      <c r="G50" s="405">
        <f t="shared" si="22"/>
        <v>0</v>
      </c>
      <c r="H50" s="405">
        <f t="shared" si="22"/>
        <v>0</v>
      </c>
      <c r="I50" s="404">
        <f t="shared" si="22"/>
        <v>10847927</v>
      </c>
      <c r="J50" s="404">
        <f t="shared" si="22"/>
        <v>10891523</v>
      </c>
      <c r="K50" s="404">
        <f t="shared" si="22"/>
        <v>5371562</v>
      </c>
      <c r="L50" s="404">
        <f t="shared" si="22"/>
        <v>5519961</v>
      </c>
      <c r="M50" s="409">
        <f t="shared" si="1"/>
        <v>1.1775487662982287</v>
      </c>
      <c r="N50" s="412">
        <f>N49+N48+N47+N46+N40+N31</f>
        <v>12006965.800000001</v>
      </c>
      <c r="O50" s="412">
        <f>O49+O48+O47+O46+O40+O31</f>
        <v>6270463.8000000007</v>
      </c>
      <c r="P50" s="412">
        <f>P49+P48+P47+P46+P40+P31</f>
        <v>5736502</v>
      </c>
      <c r="Q50" s="411">
        <f t="shared" si="2"/>
        <v>1.1024138497435116</v>
      </c>
      <c r="R50" s="404">
        <f>R49+R48+R47+R46+R40+R31</f>
        <v>13272044</v>
      </c>
      <c r="S50" s="404">
        <f>S49+S48+S47+S46+S40+S31</f>
        <v>7118819</v>
      </c>
      <c r="T50" s="404">
        <f>T49+T48+T47+T46+T40+T31</f>
        <v>6153225</v>
      </c>
      <c r="U50" s="409">
        <f t="shared" si="3"/>
        <v>1.1053620224353433</v>
      </c>
    </row>
    <row r="51" spans="1:21">
      <c r="A51" t="s">
        <v>1242</v>
      </c>
      <c r="B51" s="400">
        <f>B50-B30</f>
        <v>0</v>
      </c>
      <c r="C51" s="400">
        <f>C50-C30</f>
        <v>0</v>
      </c>
      <c r="D51" s="400">
        <f>D50-D30</f>
        <v>0</v>
      </c>
      <c r="E51" s="400">
        <f>E50-E30</f>
        <v>0</v>
      </c>
      <c r="F51" s="401" t="e">
        <f t="shared" ref="F51:T51" si="23">F50-F30</f>
        <v>#REF!</v>
      </c>
      <c r="G51" s="401" t="e">
        <f t="shared" si="23"/>
        <v>#REF!</v>
      </c>
      <c r="H51" s="401" t="e">
        <f t="shared" si="23"/>
        <v>#REF!</v>
      </c>
      <c r="I51" s="400">
        <f t="shared" si="23"/>
        <v>0</v>
      </c>
      <c r="J51" s="400">
        <f t="shared" si="23"/>
        <v>0</v>
      </c>
      <c r="K51" s="400" t="e">
        <f>K50-K30</f>
        <v>#REF!</v>
      </c>
      <c r="L51" s="400" t="e">
        <f t="shared" si="23"/>
        <v>#REF!</v>
      </c>
      <c r="N51" s="408">
        <f t="shared" si="23"/>
        <v>0</v>
      </c>
      <c r="O51" s="408">
        <f t="shared" si="23"/>
        <v>0</v>
      </c>
      <c r="P51" s="408">
        <f t="shared" si="23"/>
        <v>0</v>
      </c>
      <c r="Q51" s="411"/>
      <c r="R51" s="400">
        <f t="shared" si="23"/>
        <v>0</v>
      </c>
      <c r="S51" s="400">
        <f t="shared" si="23"/>
        <v>0</v>
      </c>
      <c r="T51" s="400">
        <f t="shared" si="23"/>
        <v>0</v>
      </c>
      <c r="U51" s="409"/>
    </row>
    <row r="52" spans="1:21">
      <c r="M52" s="408" t="s">
        <v>1464</v>
      </c>
      <c r="N52" s="408">
        <f>N28-N29</f>
        <v>308652</v>
      </c>
      <c r="O52" s="408">
        <f>O28-O29</f>
        <v>308652</v>
      </c>
      <c r="R52" s="408">
        <f>R28-R29</f>
        <v>247239</v>
      </c>
      <c r="S52" s="408">
        <f>S28-S29</f>
        <v>247239</v>
      </c>
    </row>
  </sheetData>
  <customSheetViews>
    <customSheetView guid="{9F606621-8853-4836-9A7E-DBA5CF152671}">
      <pane xSplit="1" ySplit="4" topLeftCell="I35" activePane="bottomRight" state="frozen"/>
      <selection pane="bottomRight" activeCell="P44" sqref="P44"/>
      <pageMargins left="0.70866141732283472" right="0.70866141732283472" top="0.74803149606299213" bottom="0.74803149606299213" header="0.31496062992125984" footer="0.31496062992125984"/>
      <printOptions gridLines="1"/>
      <pageSetup paperSize="8" scale="70" orientation="landscape" blackAndWhite="1" r:id="rId1"/>
    </customSheetView>
    <customSheetView guid="{DB9039ED-C6EA-422D-9A5D-D152D95EDC67}" showPageBreaks="1">
      <pane xSplit="1" ySplit="4" topLeftCell="I35" activePane="bottomRight" state="frozen"/>
      <selection pane="bottomRight" activeCell="P44" sqref="P44"/>
      <pageMargins left="0.70866141732283472" right="0.70866141732283472" top="0.74803149606299213" bottom="0.74803149606299213" header="0.31496062992125984" footer="0.31496062992125984"/>
      <printOptions gridLines="1"/>
      <pageSetup paperSize="8" scale="70" orientation="landscape" blackAndWhite="1" r:id="rId2"/>
    </customSheetView>
  </customSheetViews>
  <mergeCells count="9">
    <mergeCell ref="U3:U4"/>
    <mergeCell ref="V3:X3"/>
    <mergeCell ref="C3:E3"/>
    <mergeCell ref="F3:H3"/>
    <mergeCell ref="J3:L3"/>
    <mergeCell ref="N3:P3"/>
    <mergeCell ref="R3:T3"/>
    <mergeCell ref="M3:M4"/>
    <mergeCell ref="Q3:Q4"/>
  </mergeCells>
  <printOptions gridLines="1"/>
  <pageMargins left="0.70866141732283472" right="0.70866141732283472" top="0.74803149606299213" bottom="0.74803149606299213" header="0.31496062992125984" footer="0.31496062992125984"/>
  <pageSetup paperSize="8" scale="70" orientation="landscape" blackAndWhite="1" r:id="rId3"/>
</worksheet>
</file>

<file path=xl/worksheets/sheet71.xml><?xml version="1.0" encoding="utf-8"?>
<worksheet xmlns="http://schemas.openxmlformats.org/spreadsheetml/2006/main" xmlns:r="http://schemas.openxmlformats.org/officeDocument/2006/relationships">
  <dimension ref="A2:R40"/>
  <sheetViews>
    <sheetView topLeftCell="A17" workbookViewId="0"/>
  </sheetViews>
  <sheetFormatPr defaultRowHeight="15"/>
  <cols>
    <col min="1" max="1" width="4.7109375" customWidth="1"/>
    <col min="2" max="2" width="15.28515625" customWidth="1"/>
    <col min="3" max="3" width="12.140625" customWidth="1"/>
    <col min="4" max="5" width="10.7109375" customWidth="1"/>
    <col min="6" max="10" width="8.28515625" customWidth="1"/>
    <col min="11" max="11" width="8.85546875" customWidth="1"/>
    <col min="12" max="12" width="11.28515625" customWidth="1"/>
    <col min="13" max="13" width="10.42578125" style="323" bestFit="1" customWidth="1"/>
    <col min="14" max="14" width="8.85546875" style="323"/>
    <col min="15" max="15" width="10.85546875" style="323" bestFit="1" customWidth="1"/>
    <col min="16" max="16" width="9.140625" bestFit="1" customWidth="1"/>
  </cols>
  <sheetData>
    <row r="2" spans="1:17" s="387" customFormat="1" ht="36.6" customHeight="1">
      <c r="B2" s="387" t="s">
        <v>889</v>
      </c>
      <c r="C2" s="387" t="s">
        <v>1243</v>
      </c>
      <c r="D2" s="387" t="s">
        <v>1244</v>
      </c>
      <c r="E2" s="387" t="s">
        <v>1245</v>
      </c>
      <c r="F2" s="387" t="s">
        <v>1246</v>
      </c>
      <c r="G2" s="387" t="s">
        <v>1247</v>
      </c>
      <c r="H2" s="387" t="s">
        <v>1248</v>
      </c>
      <c r="I2" s="387" t="s">
        <v>1252</v>
      </c>
      <c r="J2" s="387" t="s">
        <v>1253</v>
      </c>
      <c r="K2" s="387" t="s">
        <v>1251</v>
      </c>
      <c r="M2" s="391" t="s">
        <v>1139</v>
      </c>
      <c r="N2" s="391" t="s">
        <v>1254</v>
      </c>
      <c r="O2" s="391" t="s">
        <v>1255</v>
      </c>
      <c r="Q2" s="387" t="s">
        <v>1121</v>
      </c>
    </row>
    <row r="3" spans="1:17" s="387" customFormat="1">
      <c r="B3" s="387" t="s">
        <v>1249</v>
      </c>
      <c r="M3" s="391"/>
      <c r="N3" s="391"/>
      <c r="O3" s="391"/>
    </row>
    <row r="4" spans="1:17">
      <c r="A4">
        <v>1</v>
      </c>
      <c r="B4" t="s">
        <v>1110</v>
      </c>
      <c r="C4" s="193">
        <f>'[16]17-ChiNSDP2018'!$U$17</f>
        <v>12208.5</v>
      </c>
      <c r="D4" s="193">
        <f>'[16]17-ChiNSDP2018'!$U$26</f>
        <v>224224.1</v>
      </c>
      <c r="E4" s="193">
        <f>'[16]17-ChiNSDP2018'!$U$28</f>
        <v>107178.67480000001</v>
      </c>
      <c r="F4" s="193">
        <f>'[16]17-ChiNSDP2018'!$U$39</f>
        <v>5755</v>
      </c>
      <c r="G4" s="193">
        <f>'[16]17-ChiNSDP2018'!$U$49</f>
        <v>10963.4</v>
      </c>
      <c r="H4" s="193">
        <f>'[16]17-ChiNSDP2018'!$U$50</f>
        <v>1689</v>
      </c>
      <c r="I4" s="193">
        <f>MAX(0,H4)</f>
        <v>1689</v>
      </c>
      <c r="J4" s="193">
        <f>MAX(0,-H4)</f>
        <v>0</v>
      </c>
      <c r="L4" s="387" t="s">
        <v>1256</v>
      </c>
      <c r="M4" s="391"/>
      <c r="N4" s="391">
        <v>204995</v>
      </c>
      <c r="O4" s="391">
        <f>360000-194789</f>
        <v>165211</v>
      </c>
      <c r="Q4" s="193">
        <f>'[16]16-ThuNSNN2018'!$L$9</f>
        <v>98900</v>
      </c>
    </row>
    <row r="5" spans="1:17">
      <c r="A5">
        <v>2</v>
      </c>
      <c r="B5" t="s">
        <v>1109</v>
      </c>
      <c r="C5" s="193">
        <f>'[15]17-ChiNSDP2018'!$U$17</f>
        <v>15291.9</v>
      </c>
      <c r="D5" s="193">
        <f>'[15]17-ChiNSDP2018'!$U$26</f>
        <v>258549.09999999998</v>
      </c>
      <c r="E5" s="193">
        <f>'[15]17-ChiNSDP2018'!$U$28</f>
        <v>117863.55439999999</v>
      </c>
      <c r="F5" s="193">
        <f>+'[15]17-ChiNSDP2018'!$U$39</f>
        <v>2605</v>
      </c>
      <c r="G5" s="193">
        <f>'[15]17-ChiNSDP2018'!$U$49</f>
        <v>5618</v>
      </c>
      <c r="H5" s="193">
        <f>'[15]17-ChiNSDP2018'!$U$50</f>
        <v>-6581</v>
      </c>
      <c r="I5" s="193">
        <f t="shared" ref="I5:I18" si="0">MAX(0,H5)</f>
        <v>0</v>
      </c>
      <c r="J5" s="193">
        <f t="shared" ref="J5:J18" si="1">MAX(0,-H5)</f>
        <v>6581</v>
      </c>
      <c r="L5" t="s">
        <v>1258</v>
      </c>
      <c r="N5" s="323">
        <v>6850</v>
      </c>
      <c r="Q5" s="193">
        <f>+'[15]16-ThuNSNN2018'!$L$9</f>
        <v>48150</v>
      </c>
    </row>
    <row r="6" spans="1:17">
      <c r="A6">
        <v>3</v>
      </c>
      <c r="B6" t="s">
        <v>1107</v>
      </c>
      <c r="C6" s="193">
        <f>'[7]17-ChiNSDP2018'!$U$17</f>
        <v>14209.9</v>
      </c>
      <c r="D6" s="193">
        <f>'[7]17-ChiNSDP2018'!$U$26</f>
        <v>250875.92</v>
      </c>
      <c r="E6" s="193">
        <f>'[7]17-ChiNSDP2018'!$U$28</f>
        <v>125234.96980000001</v>
      </c>
      <c r="F6" s="193">
        <f>'[7]17-ChiNSDP2018'!$U$39</f>
        <v>3210</v>
      </c>
      <c r="G6" s="193">
        <f>'[7]17-ChiNSDP2018'!$U$49</f>
        <v>5476.18</v>
      </c>
      <c r="H6" s="193">
        <f>'[7]17-ChiNSDP2018'!$U$50</f>
        <v>-9753</v>
      </c>
      <c r="I6" s="193">
        <f t="shared" si="0"/>
        <v>0</v>
      </c>
      <c r="J6" s="193">
        <f t="shared" si="1"/>
        <v>9753</v>
      </c>
      <c r="L6" t="s">
        <v>1259</v>
      </c>
      <c r="N6" s="323">
        <v>73674</v>
      </c>
      <c r="Q6" s="193">
        <f>+'[7]16-ThuNSNN2018'!$L$9</f>
        <v>60300</v>
      </c>
    </row>
    <row r="7" spans="1:17">
      <c r="A7">
        <v>4</v>
      </c>
      <c r="B7" t="s">
        <v>1112</v>
      </c>
      <c r="C7" s="193">
        <f>'[4]17-ChiNSDP2018'!$U$17</f>
        <v>9728</v>
      </c>
      <c r="D7" s="193">
        <f>'[4]17-ChiNSDP2018'!$U$26</f>
        <v>237205.08000000002</v>
      </c>
      <c r="E7" s="193">
        <f>'[4]17-ChiNSDP2018'!$U$28</f>
        <v>127471.54919999999</v>
      </c>
      <c r="F7" s="193">
        <f>'[4]17-ChiNSDP2018'!$U$39</f>
        <v>3944</v>
      </c>
      <c r="G7" s="193">
        <f>'[4]17-ChiNSDP2018'!$U$49</f>
        <v>4826.92</v>
      </c>
      <c r="H7" s="193">
        <f>'[4]17-ChiNSDP2018'!$U$50</f>
        <v>-14414</v>
      </c>
      <c r="I7" s="193">
        <f t="shared" si="0"/>
        <v>0</v>
      </c>
      <c r="J7" s="193">
        <f t="shared" si="1"/>
        <v>14414</v>
      </c>
      <c r="L7" t="s">
        <v>1257</v>
      </c>
      <c r="N7" s="323">
        <v>13550</v>
      </c>
      <c r="Q7" s="193">
        <f>+'[4]16-ThuNSNN2018'!$L$9</f>
        <v>43200</v>
      </c>
    </row>
    <row r="8" spans="1:17">
      <c r="A8">
        <v>5</v>
      </c>
      <c r="B8" t="s">
        <v>1091</v>
      </c>
      <c r="C8" s="193">
        <f>'[8]17-ChiNSDP2018'!$U$17</f>
        <v>13866.6</v>
      </c>
      <c r="D8" s="193">
        <f>+'[8]17-ChiNSDP2018'!$U$26</f>
        <v>291331.98</v>
      </c>
      <c r="E8" s="193">
        <f>+'[8]17-ChiNSDP2018'!$U$28</f>
        <v>140292.1856</v>
      </c>
      <c r="F8" s="193">
        <f>+'[8]17-ChiNSDP2018'!$U$39</f>
        <v>2605</v>
      </c>
      <c r="G8" s="193">
        <f>+'[8]17-ChiNSDP2018'!$U$49</f>
        <v>5967.42</v>
      </c>
      <c r="H8" s="193">
        <f>+'[8]17-ChiNSDP2018'!$U$50</f>
        <v>-18295</v>
      </c>
      <c r="I8" s="193">
        <f t="shared" si="0"/>
        <v>0</v>
      </c>
      <c r="J8" s="193">
        <f t="shared" si="1"/>
        <v>18295</v>
      </c>
      <c r="L8" t="s">
        <v>1260</v>
      </c>
      <c r="N8" s="323">
        <v>100</v>
      </c>
      <c r="Q8" s="193">
        <f>+'[8]16-ThuNSNN2018'!$L$9</f>
        <v>56850</v>
      </c>
    </row>
    <row r="9" spans="1:17">
      <c r="A9">
        <v>6</v>
      </c>
      <c r="B9" t="s">
        <v>1111</v>
      </c>
      <c r="C9" s="193">
        <f>'[9]17-ChiNSDP2018'!$U$17</f>
        <v>14790.2</v>
      </c>
      <c r="D9" s="193">
        <f>'[9]17-ChiNSDP2018'!$U$26</f>
        <v>241066.02000000002</v>
      </c>
      <c r="E9" s="193">
        <f>'[9]17-ChiNSDP2018'!$U$28</f>
        <v>93753.069799999997</v>
      </c>
      <c r="F9" s="193">
        <f>'[9]17-ChiNSDP2018'!$U$39</f>
        <v>2605</v>
      </c>
      <c r="G9" s="193">
        <f>'[9]17-ChiNSDP2018'!$U$49</f>
        <v>5443.78</v>
      </c>
      <c r="H9" s="193">
        <f>'[9]17-ChiNSDP2018'!$U$50</f>
        <v>-5111</v>
      </c>
      <c r="I9" s="193">
        <f t="shared" si="0"/>
        <v>0</v>
      </c>
      <c r="J9" s="193">
        <f t="shared" si="1"/>
        <v>5111</v>
      </c>
      <c r="L9" t="s">
        <v>1261</v>
      </c>
      <c r="N9" s="323">
        <v>100</v>
      </c>
      <c r="Q9" s="193">
        <f>+'[9]16-ThuNSNN2018'!$L$9</f>
        <v>54600</v>
      </c>
    </row>
    <row r="10" spans="1:17">
      <c r="A10">
        <v>7</v>
      </c>
      <c r="B10" t="s">
        <v>1082</v>
      </c>
      <c r="C10" s="193">
        <f>'[12]17-ChiNSDP2018'!$U$17</f>
        <v>38783</v>
      </c>
      <c r="D10" s="193">
        <f>'[12]17-ChiNSDP2018'!$U$26</f>
        <v>397434.08</v>
      </c>
      <c r="E10" s="193">
        <f>'[12]17-ChiNSDP2018'!$U$28</f>
        <v>221544.22080000001</v>
      </c>
      <c r="F10" s="193">
        <f>'[12]17-ChiNSDP2018'!$U$39</f>
        <v>14457.45</v>
      </c>
      <c r="G10" s="193">
        <f>'[12]17-ChiNSDP2018'!$U$49</f>
        <v>20549.920000000002</v>
      </c>
      <c r="H10" s="193">
        <f>'[12]17-ChiNSDP2018'!$U$50</f>
        <v>21981</v>
      </c>
      <c r="I10" s="193">
        <f t="shared" si="0"/>
        <v>21981</v>
      </c>
      <c r="J10" s="193">
        <f t="shared" si="1"/>
        <v>0</v>
      </c>
      <c r="K10" s="193">
        <f>'[12]17-ChiNSDP2018'!$U$23</f>
        <v>5000</v>
      </c>
      <c r="L10" t="s">
        <v>1262</v>
      </c>
      <c r="N10" s="323">
        <v>484</v>
      </c>
      <c r="Q10" s="193">
        <f>+'[12]16-ThuNSNN2018'!$L$9</f>
        <v>498750</v>
      </c>
    </row>
    <row r="11" spans="1:17">
      <c r="A11">
        <v>8</v>
      </c>
      <c r="B11" t="s">
        <v>1083</v>
      </c>
      <c r="C11" s="193">
        <f>'[3]17-ChiNSDP2018'!$U$17</f>
        <v>13998.6</v>
      </c>
      <c r="D11" s="193">
        <f>'[3]17-ChiNSDP2018'!$U$26</f>
        <v>294792.42</v>
      </c>
      <c r="E11" s="193">
        <f>'[3]17-ChiNSDP2018'!$U$28</f>
        <v>153312.7714</v>
      </c>
      <c r="F11" s="193">
        <f>'[3]17-ChiNSDP2018'!$U$39</f>
        <v>4675</v>
      </c>
      <c r="G11" s="193">
        <f>'[3]17-ChiNSDP2018'!$U$49</f>
        <v>6265.9800000000005</v>
      </c>
      <c r="H11" s="193">
        <f>'[3]17-ChiNSDP2018'!$U$50</f>
        <v>-13758</v>
      </c>
      <c r="I11" s="193">
        <f t="shared" si="0"/>
        <v>0</v>
      </c>
      <c r="J11" s="193">
        <f t="shared" si="1"/>
        <v>13758</v>
      </c>
      <c r="L11" t="s">
        <v>1139</v>
      </c>
      <c r="M11" s="323">
        <v>1446804</v>
      </c>
      <c r="O11" s="323">
        <f>179203+70872</f>
        <v>250075</v>
      </c>
      <c r="Q11" s="193">
        <f>+'[3]16-ThuNSNN2018'!$L$9</f>
        <v>98550</v>
      </c>
    </row>
    <row r="12" spans="1:17">
      <c r="A12">
        <v>9</v>
      </c>
      <c r="B12" t="s">
        <v>1117</v>
      </c>
      <c r="C12" s="193">
        <f>'[17]17-ChiNSDP2018'!$U$17</f>
        <v>11355.4</v>
      </c>
      <c r="D12" s="193">
        <f>'[17]17-ChiNSDP2018'!$U$26</f>
        <v>151078.06</v>
      </c>
      <c r="E12" s="193">
        <f>'[17]17-ChiNSDP2018'!$U$28</f>
        <v>51678.307800000002</v>
      </c>
      <c r="F12" s="193">
        <f>'[17]17-ChiNSDP2018'!$U$39</f>
        <v>2605</v>
      </c>
      <c r="G12" s="193">
        <f>'[17]17-ChiNSDP2018'!$U$49</f>
        <v>3327.54</v>
      </c>
      <c r="H12" s="193">
        <f>'[17]17-ChiNSDP2018'!$U$50</f>
        <v>-6884</v>
      </c>
      <c r="I12" s="193">
        <f t="shared" si="0"/>
        <v>0</v>
      </c>
      <c r="J12" s="193">
        <f t="shared" si="1"/>
        <v>6884</v>
      </c>
      <c r="L12" t="s">
        <v>1263</v>
      </c>
      <c r="N12" s="323">
        <v>281039</v>
      </c>
      <c r="Q12" s="193">
        <f>+'[17]16-ThuNSNN2018'!$L$9</f>
        <v>25000</v>
      </c>
    </row>
    <row r="13" spans="1:17">
      <c r="A13">
        <v>10</v>
      </c>
      <c r="B13" t="s">
        <v>1100</v>
      </c>
      <c r="C13" s="193">
        <f>'[5]17-ChiNSDP2018'!$U$17</f>
        <v>38501.1</v>
      </c>
      <c r="D13" s="193">
        <f>'[5]17-ChiNSDP2018'!$U$26</f>
        <v>601506.54</v>
      </c>
      <c r="E13" s="193">
        <f>'[5]17-ChiNSDP2018'!$U$28</f>
        <v>339404.1752</v>
      </c>
      <c r="F13" s="193">
        <f>'[5]17-ChiNSDP2018'!$U$39</f>
        <v>8274</v>
      </c>
      <c r="G13" s="193">
        <f>'[5]17-ChiNSDP2018'!$U$49</f>
        <v>30633.360000000001</v>
      </c>
      <c r="H13" s="193">
        <f>'[5]17-ChiNSDP2018'!$U$50</f>
        <v>34107</v>
      </c>
      <c r="I13" s="193">
        <f t="shared" si="0"/>
        <v>34107</v>
      </c>
      <c r="J13" s="193">
        <f t="shared" si="1"/>
        <v>0</v>
      </c>
      <c r="L13" t="s">
        <v>898</v>
      </c>
      <c r="N13" s="323">
        <v>24086</v>
      </c>
      <c r="Q13" s="193">
        <f>'[5]16-ThuNSNN2018'!$L$9</f>
        <v>534100</v>
      </c>
    </row>
    <row r="14" spans="1:17">
      <c r="A14">
        <v>11</v>
      </c>
      <c r="B14" t="s">
        <v>1104</v>
      </c>
      <c r="C14" s="193">
        <f>'[14]17-ChiNSDP2018'!$U$17</f>
        <v>11805</v>
      </c>
      <c r="D14" s="193">
        <f>'[14]17-ChiNSDP2018'!$U$26</f>
        <v>326158.92</v>
      </c>
      <c r="E14" s="193">
        <f>'[14]17-ChiNSDP2018'!$U$28</f>
        <v>189661.26879999999</v>
      </c>
      <c r="F14" s="193">
        <f>'[14]17-ChiNSDP2018'!$U$39</f>
        <v>3944</v>
      </c>
      <c r="G14" s="193">
        <f>'[14]17-ChiNSDP2018'!$U$49</f>
        <v>6616.08</v>
      </c>
      <c r="H14" s="193">
        <f>'[14]17-ChiNSDP2018'!$U$50</f>
        <v>-20517</v>
      </c>
      <c r="I14" s="193">
        <f t="shared" si="0"/>
        <v>0</v>
      </c>
      <c r="J14" s="193">
        <f t="shared" si="1"/>
        <v>20517</v>
      </c>
      <c r="L14" t="s">
        <v>1266</v>
      </c>
      <c r="N14" s="323">
        <v>10000</v>
      </c>
      <c r="Q14" s="193">
        <f>'[14]16-ThuNSNN2018'!$L$9</f>
        <v>80800</v>
      </c>
    </row>
    <row r="15" spans="1:17">
      <c r="A15">
        <v>12</v>
      </c>
      <c r="B15" t="s">
        <v>1081</v>
      </c>
      <c r="C15" s="193">
        <f>'[11]17-ChiNSDP2018'!$U$17</f>
        <v>20731</v>
      </c>
      <c r="D15" s="193">
        <f>'[11]17-ChiNSDP2018'!$U$26</f>
        <v>436274</v>
      </c>
      <c r="E15" s="193">
        <f>'[11]17-ChiNSDP2018'!$U$28</f>
        <v>238588.68479999999</v>
      </c>
      <c r="F15" s="193">
        <f>'[11]17-ChiNSDP2018'!$U$39</f>
        <v>6333</v>
      </c>
      <c r="G15" s="193">
        <f>'[11]17-ChiNSDP2018'!$U$49</f>
        <v>21169</v>
      </c>
      <c r="H15" s="193">
        <f>'[11]17-ChiNSDP2018'!$U$50</f>
        <v>11051.000000000004</v>
      </c>
      <c r="I15" s="193">
        <f t="shared" si="0"/>
        <v>11051.000000000004</v>
      </c>
      <c r="J15" s="193">
        <f t="shared" si="1"/>
        <v>0</v>
      </c>
      <c r="L15" t="s">
        <v>1267</v>
      </c>
      <c r="N15" s="323">
        <v>5000</v>
      </c>
      <c r="Q15" s="193">
        <f>'[11]16-ThuNSNN2018'!$L$9</f>
        <v>306400</v>
      </c>
    </row>
    <row r="16" spans="1:17">
      <c r="A16">
        <v>13</v>
      </c>
      <c r="B16" t="s">
        <v>1102</v>
      </c>
      <c r="C16" s="193">
        <f>'[13]17-ChiNSDP2018'!$U$17</f>
        <v>22424</v>
      </c>
      <c r="D16" s="193">
        <f>'[13]17-ChiNSDP2018'!$U$26</f>
        <v>436739.24</v>
      </c>
      <c r="E16" s="193">
        <f>'[13]17-ChiNSDP2018'!$U$28</f>
        <v>237690.3738</v>
      </c>
      <c r="F16" s="193">
        <f>'[13]17-ChiNSDP2018'!$U$39</f>
        <v>5703</v>
      </c>
      <c r="G16" s="193">
        <f>'[13]17-ChiNSDP2018'!$U$49</f>
        <v>20921.760000000002</v>
      </c>
      <c r="H16" s="193">
        <f>'[13]17-ChiNSDP2018'!$U$50</f>
        <v>-5041</v>
      </c>
      <c r="I16" s="193">
        <f t="shared" si="0"/>
        <v>0</v>
      </c>
      <c r="J16" s="193">
        <f t="shared" si="1"/>
        <v>5041</v>
      </c>
      <c r="L16" t="s">
        <v>1268</v>
      </c>
      <c r="N16" s="323">
        <v>40000</v>
      </c>
      <c r="Q16" s="193">
        <f>'[13]16-ThuNSNN2018'!$L$9</f>
        <v>237500</v>
      </c>
    </row>
    <row r="17" spans="1:18">
      <c r="A17">
        <v>14</v>
      </c>
      <c r="B17" t="s">
        <v>1080</v>
      </c>
      <c r="C17" s="193">
        <f>'[10]17-ChiNSDP2018'!$U$17</f>
        <v>33424</v>
      </c>
      <c r="D17" s="193">
        <f>'[10]17-ChiNSDP2018'!$U$26</f>
        <v>418095.12</v>
      </c>
      <c r="E17" s="193">
        <f>'[10]17-ChiNSDP2018'!$U$28</f>
        <v>240173.1698</v>
      </c>
      <c r="F17" s="193">
        <f>'[10]17-ChiNSDP2018'!$U$39</f>
        <v>7916</v>
      </c>
      <c r="G17" s="193">
        <f>'[10]17-ChiNSDP2018'!$U$49</f>
        <v>22094.880000000001</v>
      </c>
      <c r="H17" s="193">
        <f>'[10]17-ChiNSDP2018'!$U$50</f>
        <v>38758</v>
      </c>
      <c r="I17" s="193">
        <f t="shared" si="0"/>
        <v>38758</v>
      </c>
      <c r="J17" s="193">
        <f t="shared" si="1"/>
        <v>0</v>
      </c>
      <c r="L17" t="s">
        <v>1153</v>
      </c>
      <c r="O17" s="323">
        <v>170000</v>
      </c>
      <c r="Q17" s="193">
        <f>+'[10]16-ThuNSNN2018'!$L$9</f>
        <v>501200</v>
      </c>
    </row>
    <row r="18" spans="1:18">
      <c r="A18">
        <v>15</v>
      </c>
      <c r="B18" t="s">
        <v>1116</v>
      </c>
      <c r="C18" s="193">
        <f>'[6]17-ChiNSDP2018'!$U$17</f>
        <v>18514.099999999999</v>
      </c>
      <c r="D18" s="193">
        <f>'[6]17-ChiNSDP2018'!$U$26</f>
        <v>273014.09999999998</v>
      </c>
      <c r="E18" s="193">
        <f>'[6]17-ChiNSDP2018'!$U$28</f>
        <v>132722.08480000001</v>
      </c>
      <c r="F18" s="193">
        <f>'[6]17-ChiNSDP2018'!$U$39</f>
        <v>2605</v>
      </c>
      <c r="G18" s="193">
        <f>'[6]17-ChiNSDP2018'!$U$49</f>
        <v>6065.8</v>
      </c>
      <c r="H18" s="193">
        <f>'[6]17-ChiNSDP2018'!$U$50</f>
        <v>-8304</v>
      </c>
      <c r="I18" s="193">
        <f t="shared" si="0"/>
        <v>0</v>
      </c>
      <c r="J18" s="193">
        <f t="shared" si="1"/>
        <v>8304</v>
      </c>
      <c r="Q18" s="193">
        <f>'[6]16-ThuNSNN2018'!$L$9</f>
        <v>65520</v>
      </c>
    </row>
    <row r="19" spans="1:18" s="203" customFormat="1">
      <c r="C19" s="390">
        <f>SUM(C4:C18)</f>
        <v>289631.3</v>
      </c>
      <c r="D19" s="390">
        <f t="shared" ref="D19:K19" si="2">SUM(D4:D18)</f>
        <v>4838344.68</v>
      </c>
      <c r="E19" s="390">
        <f t="shared" si="2"/>
        <v>2516569.0607999996</v>
      </c>
      <c r="F19" s="390">
        <f t="shared" si="2"/>
        <v>77236.45</v>
      </c>
      <c r="G19" s="390">
        <f t="shared" si="2"/>
        <v>175940.02</v>
      </c>
      <c r="H19" s="390">
        <f t="shared" si="2"/>
        <v>-1071.9999999999964</v>
      </c>
      <c r="I19" s="390">
        <f t="shared" ref="I19" si="3">SUM(I4:I18)</f>
        <v>107586</v>
      </c>
      <c r="J19" s="390">
        <f t="shared" ref="J19" si="4">SUM(J4:J18)</f>
        <v>108658</v>
      </c>
      <c r="K19" s="390">
        <f t="shared" si="2"/>
        <v>5000</v>
      </c>
      <c r="L19" s="390">
        <f t="shared" ref="L19" si="5">SUM(L4:L18)</f>
        <v>0</v>
      </c>
      <c r="M19" s="390">
        <f>SUM(M4:M18)</f>
        <v>1446804</v>
      </c>
      <c r="N19" s="390">
        <f t="shared" ref="N19" si="6">SUM(N4:N18)</f>
        <v>659878</v>
      </c>
      <c r="O19" s="390">
        <f t="shared" ref="O19" si="7">SUM(O4:O18)</f>
        <v>585286</v>
      </c>
      <c r="P19" s="390">
        <f>SUM(M19:O19)</f>
        <v>2691968</v>
      </c>
      <c r="Q19" s="390">
        <f>SUM(Q4:Q18)</f>
        <v>2709820</v>
      </c>
    </row>
    <row r="24" spans="1:18">
      <c r="B24" t="s">
        <v>1250</v>
      </c>
    </row>
    <row r="25" spans="1:18">
      <c r="A25">
        <v>1</v>
      </c>
      <c r="B25" t="str">
        <f t="shared" ref="B25:B35" si="8">B4</f>
        <v>Kiến Tường</v>
      </c>
      <c r="C25" s="193">
        <f>'[16]17-ChiNSDP2018'!$Y$17</f>
        <v>13279.35</v>
      </c>
      <c r="D25" s="193">
        <f>'[16]17-ChiNSDP2018'!$Y$26</f>
        <v>236931.58333333331</v>
      </c>
      <c r="E25" s="193">
        <f>'[16]17-ChiNSDP2018'!$Y$28</f>
        <v>116801.97177777778</v>
      </c>
      <c r="F25" s="193">
        <f>'[16]17-ChiNSDP2018'!$Y$39</f>
        <v>5755</v>
      </c>
      <c r="G25" s="193">
        <f>'[16]17-ChiNSDP2018'!$Y$49</f>
        <v>11539.4</v>
      </c>
      <c r="H25" s="193">
        <f>'[16]17-ChiNSDP2018'!$Y$50</f>
        <v>-3265.3333333333339</v>
      </c>
      <c r="I25" s="193">
        <f>MAX(0,H25)</f>
        <v>0</v>
      </c>
      <c r="J25" s="193">
        <f>MAX(0,-H25)</f>
        <v>3265.3333333333339</v>
      </c>
      <c r="Q25" s="193">
        <f>'[16]16-ThuNSNN2018'!$N$9</f>
        <v>113300</v>
      </c>
      <c r="R25" s="193">
        <f>+Q25-Q4</f>
        <v>14400</v>
      </c>
    </row>
    <row r="26" spans="1:18">
      <c r="A26">
        <v>2</v>
      </c>
      <c r="B26" t="str">
        <f t="shared" si="8"/>
        <v>Vĩnh Hưng</v>
      </c>
      <c r="C26" s="193">
        <f>'[15]17-ChiNSDP2018'!$Y$17</f>
        <v>16571.09</v>
      </c>
      <c r="D26" s="193">
        <f>'[15]17-ChiNSDP2018'!$Y$26</f>
        <v>272161.23888888885</v>
      </c>
      <c r="E26" s="193">
        <f>'[15]17-ChiNSDP2018'!$Y$28</f>
        <v>126701.75415555555</v>
      </c>
      <c r="F26" s="193">
        <f>'[15]17-ChiNSDP2018'!$Y$39</f>
        <v>2605</v>
      </c>
      <c r="G26" s="193">
        <f>'[15]17-ChiNSDP2018'!$Y$49</f>
        <v>5685.56</v>
      </c>
      <c r="H26" s="193">
        <f>'[15]17-ChiNSDP2018'!$Y$50</f>
        <v>-16139.888888888889</v>
      </c>
      <c r="I26" s="193">
        <f t="shared" ref="I26:I39" si="9">MAX(0,H26)</f>
        <v>0</v>
      </c>
      <c r="J26" s="193">
        <f t="shared" ref="J26:J39" si="10">MAX(0,-H26)</f>
        <v>16139.888888888889</v>
      </c>
      <c r="L26" t="str">
        <f t="shared" ref="L26:L39" si="11">+L4</f>
        <v>TU</v>
      </c>
      <c r="N26" s="323">
        <v>213721</v>
      </c>
      <c r="O26" s="323">
        <f>360000-168955</f>
        <v>191045</v>
      </c>
      <c r="Q26" s="193">
        <f>+'[15]16-ThuNSNN2018'!$N$9</f>
        <v>53550</v>
      </c>
      <c r="R26" s="193">
        <f t="shared" ref="R26:R39" si="12">+Q26-Q5</f>
        <v>5400</v>
      </c>
    </row>
    <row r="27" spans="1:18">
      <c r="A27">
        <v>3</v>
      </c>
      <c r="B27" t="str">
        <f t="shared" si="8"/>
        <v>Thạnh Hóa</v>
      </c>
      <c r="C27" s="193">
        <f>'[7]17-ChiNSDP2018'!$Y$17</f>
        <v>15530.89</v>
      </c>
      <c r="D27" s="193">
        <f>'[7]17-ChiNSDP2018'!$Y$26</f>
        <v>264170.48555555556</v>
      </c>
      <c r="E27" s="193">
        <f>'[7]17-ChiNSDP2018'!$Y$28</f>
        <v>134650.26288888889</v>
      </c>
      <c r="F27" s="193">
        <f>'[7]17-ChiNSDP2018'!$Y$39</f>
        <v>3210</v>
      </c>
      <c r="G27" s="193">
        <f>'[7]17-ChiNSDP2018'!$Y$49</f>
        <v>5621.18</v>
      </c>
      <c r="H27" s="193">
        <f>'[7]17-ChiNSDP2018'!$Y$50</f>
        <v>-18263.555555555555</v>
      </c>
      <c r="I27" s="193">
        <f t="shared" si="9"/>
        <v>0</v>
      </c>
      <c r="J27" s="193">
        <f t="shared" si="10"/>
        <v>18263.555555555555</v>
      </c>
      <c r="L27" t="str">
        <f t="shared" si="11"/>
        <v>BDBP</v>
      </c>
      <c r="N27" s="323">
        <v>6670</v>
      </c>
      <c r="Q27" s="193">
        <f>+'[7]16-ThuNSNN2018'!$N$9</f>
        <v>67550</v>
      </c>
      <c r="R27" s="193">
        <f t="shared" si="12"/>
        <v>7250</v>
      </c>
    </row>
    <row r="28" spans="1:18">
      <c r="A28">
        <v>4</v>
      </c>
      <c r="B28" t="str">
        <f t="shared" si="8"/>
        <v>Tân Trụ</v>
      </c>
      <c r="C28" s="193">
        <f>+'[4]17-ChiNSDP2018'!$Y$17</f>
        <v>10214</v>
      </c>
      <c r="D28" s="193">
        <f>+'[4]17-ChiNSDP2018'!$Y$26</f>
        <v>251486.41333333339</v>
      </c>
      <c r="E28" s="193">
        <f>+'[4]17-ChiNSDP2018'!$Y$28</f>
        <v>137111.45600000001</v>
      </c>
      <c r="F28" s="193">
        <f>'[4]17-ChiNSDP2018'!$Y$39</f>
        <v>3944</v>
      </c>
      <c r="G28" s="193">
        <f>'[4]17-ChiNSDP2018'!$Y$49</f>
        <v>4924.92</v>
      </c>
      <c r="H28" s="193">
        <f>'[4]17-ChiNSDP2018'!$Y$50</f>
        <v>-24379.333333333332</v>
      </c>
      <c r="I28" s="193">
        <f t="shared" si="9"/>
        <v>0</v>
      </c>
      <c r="J28" s="193">
        <f t="shared" si="10"/>
        <v>24379.333333333332</v>
      </c>
      <c r="L28" t="str">
        <f t="shared" si="11"/>
        <v>BCHQS tỉnh</v>
      </c>
      <c r="N28" s="323">
        <v>81041</v>
      </c>
      <c r="Q28" s="193">
        <f>+'[4]16-ThuNSNN2018'!$N$9</f>
        <v>48100</v>
      </c>
      <c r="R28" s="193">
        <f t="shared" si="12"/>
        <v>4900</v>
      </c>
    </row>
    <row r="29" spans="1:18">
      <c r="A29">
        <v>5</v>
      </c>
      <c r="B29" t="str">
        <f t="shared" si="8"/>
        <v>Tân Thạnh</v>
      </c>
      <c r="C29" s="193">
        <f>'[8]17-ChiNSDP2018'!$Y$17</f>
        <v>15253.26</v>
      </c>
      <c r="D29" s="193">
        <f>'[8]17-ChiNSDP2018'!$Y$26</f>
        <v>307164.20888888894</v>
      </c>
      <c r="E29" s="193">
        <f>'[8]17-ChiNSDP2018'!$Y$28</f>
        <v>150873.99911111113</v>
      </c>
      <c r="F29" s="193">
        <f>'[8]17-ChiNSDP2018'!$Y$39</f>
        <v>2605</v>
      </c>
      <c r="G29" s="193">
        <f>'[8]17-ChiNSDP2018'!$Y$49</f>
        <v>6134.42</v>
      </c>
      <c r="H29" s="193">
        <f>+'[8]17-ChiNSDP2018'!$Y$50</f>
        <v>-28330.888888888891</v>
      </c>
      <c r="I29" s="193">
        <f t="shared" si="9"/>
        <v>0</v>
      </c>
      <c r="J29" s="193">
        <f t="shared" si="10"/>
        <v>28330.888888888891</v>
      </c>
      <c r="L29" t="str">
        <f t="shared" si="11"/>
        <v>CA</v>
      </c>
      <c r="N29" s="323">
        <v>15100</v>
      </c>
      <c r="Q29" s="193">
        <f>+'[8]16-ThuNSNN2018'!$N$9</f>
        <v>65200</v>
      </c>
      <c r="R29" s="193">
        <f t="shared" si="12"/>
        <v>8350</v>
      </c>
    </row>
    <row r="30" spans="1:18">
      <c r="A30">
        <v>6</v>
      </c>
      <c r="B30" t="str">
        <f t="shared" si="8"/>
        <v>Tân Hưng</v>
      </c>
      <c r="C30" s="193">
        <f>'[9]17-ChiNSDP2018'!$Y$17</f>
        <v>16119.220000000001</v>
      </c>
      <c r="D30" s="193">
        <f>'[9]17-ChiNSDP2018'!$Y$26</f>
        <v>251744.44444444444</v>
      </c>
      <c r="E30" s="193">
        <f>'[9]17-ChiNSDP2018'!$Y$28</f>
        <v>100229.55511111111</v>
      </c>
      <c r="F30" s="193">
        <f>'[9]17-ChiNSDP2018'!$Y$39</f>
        <v>2605</v>
      </c>
      <c r="G30" s="193">
        <f>'[9]17-ChiNSDP2018'!$Y$49</f>
        <v>5552.78</v>
      </c>
      <c r="H30" s="193">
        <f>'[9]17-ChiNSDP2018'!$Y$50</f>
        <v>-12777.444444444445</v>
      </c>
      <c r="I30" s="193">
        <f t="shared" si="9"/>
        <v>0</v>
      </c>
      <c r="J30" s="193">
        <f t="shared" si="10"/>
        <v>12777.444444444445</v>
      </c>
      <c r="L30" t="str">
        <f t="shared" si="11"/>
        <v>THA</v>
      </c>
      <c r="N30" s="323">
        <v>100</v>
      </c>
      <c r="Q30" s="193">
        <f>+'[9]16-ThuNSNN2018'!$N$9</f>
        <v>60050</v>
      </c>
      <c r="R30" s="193">
        <f t="shared" si="12"/>
        <v>5450</v>
      </c>
    </row>
    <row r="31" spans="1:18">
      <c r="A31">
        <v>7</v>
      </c>
      <c r="B31" t="str">
        <f t="shared" si="8"/>
        <v>Tân An</v>
      </c>
      <c r="C31" s="193">
        <f>'[12]17-ChiNSDP2018'!$Y$17</f>
        <v>42661</v>
      </c>
      <c r="D31" s="193">
        <f>'[12]17-ChiNSDP2018'!$Y$26</f>
        <v>442221.85777777777</v>
      </c>
      <c r="E31" s="193">
        <f>'[12]17-ChiNSDP2018'!$Y$28</f>
        <v>257180.15622222223</v>
      </c>
      <c r="F31" s="193">
        <f>'[12]17-ChiNSDP2018'!$Y$39</f>
        <v>15145.900000000001</v>
      </c>
      <c r="G31" s="193">
        <f>'[12]17-ChiNSDP2018'!$Y$49</f>
        <v>23215.920000000002</v>
      </c>
      <c r="H31" s="193">
        <f>'[12]17-ChiNSDP2018'!$Y$50</f>
        <v>35299.222222222219</v>
      </c>
      <c r="I31" s="193">
        <f t="shared" si="9"/>
        <v>35299.222222222219</v>
      </c>
      <c r="J31" s="193">
        <f t="shared" si="10"/>
        <v>0</v>
      </c>
      <c r="K31" s="193">
        <f>'[12]17-ChiNSDP2018'!$Y$23</f>
        <v>5000</v>
      </c>
      <c r="L31" t="str">
        <f t="shared" si="11"/>
        <v>Cục TY</v>
      </c>
      <c r="N31" s="323">
        <v>100</v>
      </c>
      <c r="Q31" s="193">
        <f>+'[12]16-ThuNSNN2018'!$N$9</f>
        <v>565400</v>
      </c>
      <c r="R31" s="193">
        <f t="shared" si="12"/>
        <v>66650</v>
      </c>
    </row>
    <row r="32" spans="1:18">
      <c r="A32">
        <v>8</v>
      </c>
      <c r="B32" t="str">
        <f t="shared" si="8"/>
        <v>Thủ Thừa</v>
      </c>
      <c r="C32" s="193">
        <f>'[3]17-ChiNSDP2018'!$Y$17</f>
        <v>15398.460000000001</v>
      </c>
      <c r="D32" s="193">
        <f>'[3]17-ChiNSDP2018'!$Y$26</f>
        <v>313299.89333333337</v>
      </c>
      <c r="E32" s="193">
        <f>'[3]17-ChiNSDP2018'!$Y$28</f>
        <v>164964.3408888889</v>
      </c>
      <c r="F32" s="193">
        <f>'[3]17-ChiNSDP2018'!$Y$39</f>
        <v>5195</v>
      </c>
      <c r="G32" s="193">
        <f>'[3]17-ChiNSDP2018'!$Y$49</f>
        <v>6480.9800000000005</v>
      </c>
      <c r="H32" s="193">
        <f>'[3]17-ChiNSDP2018'!$Y$50</f>
        <v>-23130.333333333336</v>
      </c>
      <c r="I32" s="193">
        <f t="shared" si="9"/>
        <v>0</v>
      </c>
      <c r="J32" s="193">
        <f t="shared" si="10"/>
        <v>23130.333333333336</v>
      </c>
      <c r="L32" t="str">
        <f t="shared" si="11"/>
        <v>CLB HT</v>
      </c>
      <c r="N32" s="323">
        <v>509</v>
      </c>
      <c r="Q32" s="193">
        <f>+'[3]16-ThuNSNN2018'!$N$9</f>
        <v>109300</v>
      </c>
      <c r="R32" s="193">
        <f t="shared" si="12"/>
        <v>10750</v>
      </c>
    </row>
    <row r="33" spans="1:18">
      <c r="A33">
        <v>9</v>
      </c>
      <c r="B33" t="str">
        <f t="shared" si="8"/>
        <v>Mộc Hóa</v>
      </c>
      <c r="C33" s="193">
        <f>'[17]17-ChiNSDP2018'!$Y$17</f>
        <v>12375.939999999999</v>
      </c>
      <c r="D33" s="193">
        <f>'[17]17-ChiNSDP2018'!$Y$26</f>
        <v>157776.85333333336</v>
      </c>
      <c r="E33" s="193">
        <f>'[17]17-ChiNSDP2018'!$Y$28</f>
        <v>55151.959555555564</v>
      </c>
      <c r="F33" s="193">
        <f>'[17]17-ChiNSDP2018'!$Y$39</f>
        <v>2605</v>
      </c>
      <c r="G33" s="193">
        <f>'[17]17-ChiNSDP2018'!$Y$49</f>
        <v>3381.54</v>
      </c>
      <c r="H33" s="193">
        <f>'[17]17-ChiNSDP2018'!$Y$50</f>
        <v>-12457.333333333334</v>
      </c>
      <c r="I33" s="193">
        <f t="shared" si="9"/>
        <v>0</v>
      </c>
      <c r="J33" s="193">
        <f t="shared" si="10"/>
        <v>12457.333333333334</v>
      </c>
      <c r="L33" t="str">
        <f t="shared" si="11"/>
        <v>HCSN</v>
      </c>
      <c r="M33" s="323">
        <v>1500557</v>
      </c>
      <c r="O33" s="323">
        <f>179203+70872</f>
        <v>250075</v>
      </c>
      <c r="Q33" s="193">
        <f>'[17]16-ThuNSNN2018'!$N$9</f>
        <v>27700</v>
      </c>
      <c r="R33" s="193">
        <f t="shared" si="12"/>
        <v>2700</v>
      </c>
    </row>
    <row r="34" spans="1:18">
      <c r="A34">
        <v>10</v>
      </c>
      <c r="B34" t="str">
        <f t="shared" si="8"/>
        <v>Đức Hòa</v>
      </c>
      <c r="C34" s="193">
        <f>'[5]17-ChiNSDP2018'!$Y$17</f>
        <v>42351.21</v>
      </c>
      <c r="D34" s="193">
        <f>'[5]17-ChiNSDP2018'!$Y$26</f>
        <v>653611.20333333337</v>
      </c>
      <c r="E34" s="193">
        <f>'[5]17-ChiNSDP2018'!$Y$28</f>
        <v>377400.83711111115</v>
      </c>
      <c r="F34" s="193">
        <f>'[5]17-ChiNSDP2018'!$Y$39</f>
        <v>9026</v>
      </c>
      <c r="G34" s="193">
        <f>'[5]17-ChiNSDP2018'!$Y$49</f>
        <v>32273.920000000002</v>
      </c>
      <c r="H34" s="193">
        <f>'[5]17-ChiNSDP2018'!$Y$50</f>
        <v>37611.666666666672</v>
      </c>
      <c r="I34" s="193">
        <f t="shared" si="9"/>
        <v>37611.666666666672</v>
      </c>
      <c r="J34" s="193">
        <f t="shared" si="10"/>
        <v>0</v>
      </c>
      <c r="L34" t="str">
        <f t="shared" si="11"/>
        <v>BHYT</v>
      </c>
      <c r="N34" s="323">
        <v>303280</v>
      </c>
      <c r="Q34" s="193">
        <f>'[5]16-ThuNSNN2018'!$N$9</f>
        <v>584200</v>
      </c>
      <c r="R34" s="193">
        <f t="shared" si="12"/>
        <v>50100</v>
      </c>
    </row>
    <row r="35" spans="1:18">
      <c r="A35">
        <v>11</v>
      </c>
      <c r="B35" t="str">
        <f t="shared" si="8"/>
        <v>Châu Thành</v>
      </c>
      <c r="C35" s="193">
        <f>'[14]17-ChiNSDP2018'!$Y$17</f>
        <v>12395</v>
      </c>
      <c r="D35" s="193">
        <f>'[14]17-ChiNSDP2018'!$Y$26</f>
        <v>347462.03111111111</v>
      </c>
      <c r="E35" s="193">
        <f>'[14]17-ChiNSDP2018'!$Y$28</f>
        <v>205312.02844444444</v>
      </c>
      <c r="F35" s="193">
        <f>'[14]17-ChiNSDP2018'!$Y$39</f>
        <v>3944</v>
      </c>
      <c r="G35" s="193">
        <f>'[14]17-ChiNSDP2018'!$Y$49</f>
        <v>6826.08</v>
      </c>
      <c r="H35" s="193">
        <f>'[14]17-ChiNSDP2018'!$Y$50</f>
        <v>-33120.111111111109</v>
      </c>
      <c r="I35" s="193">
        <f t="shared" si="9"/>
        <v>0</v>
      </c>
      <c r="J35" s="193">
        <f t="shared" si="10"/>
        <v>33120.111111111109</v>
      </c>
      <c r="L35" t="str">
        <f t="shared" si="11"/>
        <v>Chi khác</v>
      </c>
      <c r="N35" s="323">
        <v>24086</v>
      </c>
      <c r="Q35" s="193">
        <f>'[14]16-ThuNSNN2018'!$N$9</f>
        <v>91300</v>
      </c>
      <c r="R35" s="193">
        <f t="shared" si="12"/>
        <v>10500</v>
      </c>
    </row>
    <row r="36" spans="1:18">
      <c r="A36">
        <v>12</v>
      </c>
      <c r="B36" t="str">
        <f t="shared" ref="B36:B39" si="13">B15</f>
        <v>Cần Giuộc</v>
      </c>
      <c r="C36" s="193">
        <f>'[11]17-ChiNSDP2018'!$Y$17</f>
        <v>22804</v>
      </c>
      <c r="D36" s="193">
        <f>'[11]17-ChiNSDP2018'!$Y$26</f>
        <v>474126.44444444444</v>
      </c>
      <c r="E36" s="193">
        <f>'[11]17-ChiNSDP2018'!$Y$28</f>
        <v>262177.29955555551</v>
      </c>
      <c r="F36" s="193">
        <f>'[11]17-ChiNSDP2018'!$Y$39</f>
        <v>7313</v>
      </c>
      <c r="G36" s="193">
        <f>'[11]17-ChiNSDP2018'!$Y$49</f>
        <v>22745</v>
      </c>
      <c r="H36" s="193">
        <f>'[11]17-ChiNSDP2018'!$Y$50</f>
        <v>3949.5555555555657</v>
      </c>
      <c r="I36" s="193">
        <f t="shared" si="9"/>
        <v>3949.5555555555657</v>
      </c>
      <c r="J36" s="193">
        <f t="shared" si="10"/>
        <v>0</v>
      </c>
      <c r="L36" t="str">
        <f t="shared" si="11"/>
        <v>NHCS</v>
      </c>
      <c r="N36" s="323">
        <v>10000</v>
      </c>
      <c r="Q36" s="193">
        <f>'[11]16-ThuNSNN2018'!$N$9</f>
        <v>345800</v>
      </c>
      <c r="R36" s="193">
        <f t="shared" si="12"/>
        <v>39400</v>
      </c>
    </row>
    <row r="37" spans="1:18">
      <c r="A37">
        <v>13</v>
      </c>
      <c r="B37" t="str">
        <f t="shared" si="13"/>
        <v>Cần Đước</v>
      </c>
      <c r="C37" s="193">
        <f>'[13]17-ChiNSDP2018'!$Y$17</f>
        <v>24666</v>
      </c>
      <c r="D37" s="193">
        <f>'[13]17-ChiNSDP2018'!$Y$26</f>
        <v>467473.35111111117</v>
      </c>
      <c r="E37" s="193">
        <f>'[13]17-ChiNSDP2018'!$Y$28</f>
        <v>261219.64844444444</v>
      </c>
      <c r="F37" s="193">
        <f>'[13]17-ChiNSDP2018'!$Y$39</f>
        <v>5703</v>
      </c>
      <c r="G37" s="193">
        <f>'[13]17-ChiNSDP2018'!$Y$49</f>
        <v>22047.760000000002</v>
      </c>
      <c r="H37" s="193">
        <f>'[13]17-ChiNSDP2018'!$Y$50</f>
        <v>-12993.111111111113</v>
      </c>
      <c r="I37" s="193">
        <f t="shared" si="9"/>
        <v>0</v>
      </c>
      <c r="J37" s="193">
        <f t="shared" si="10"/>
        <v>12993.111111111113</v>
      </c>
      <c r="L37" t="str">
        <f t="shared" si="11"/>
        <v>Quỹ bảo trợ trẻ em</v>
      </c>
      <c r="N37" s="323">
        <v>5000</v>
      </c>
      <c r="Q37" s="193">
        <f>'[13]16-ThuNSNN2018'!$N$9</f>
        <v>265650</v>
      </c>
      <c r="R37" s="193">
        <f t="shared" si="12"/>
        <v>28150</v>
      </c>
    </row>
    <row r="38" spans="1:18">
      <c r="A38">
        <v>14</v>
      </c>
      <c r="B38" t="str">
        <f t="shared" si="13"/>
        <v>Bến Lức</v>
      </c>
      <c r="C38" s="193">
        <f>'[10]17-ChiNSDP2018'!$Y$17</f>
        <v>36766</v>
      </c>
      <c r="D38" s="193">
        <f>'[10]17-ChiNSDP2018'!$Y$26</f>
        <v>458179.34222222224</v>
      </c>
      <c r="E38" s="193">
        <f>'[10]17-ChiNSDP2018'!$Y$28</f>
        <v>270785.34177777776</v>
      </c>
      <c r="F38" s="193">
        <f>'[10]17-ChiNSDP2018'!$Y$39</f>
        <v>8706</v>
      </c>
      <c r="G38" s="193">
        <f>'[10]17-ChiNSDP2018'!$Y$49</f>
        <v>24572.880000000001</v>
      </c>
      <c r="H38" s="193">
        <f>'[10]17-ChiNSDP2018'!$Y$50</f>
        <v>52803.777777777774</v>
      </c>
      <c r="I38" s="193">
        <f t="shared" si="9"/>
        <v>52803.777777777774</v>
      </c>
      <c r="J38" s="193">
        <f t="shared" si="10"/>
        <v>0</v>
      </c>
      <c r="L38" t="str">
        <f t="shared" si="11"/>
        <v>Tiền bảo vể đất trồng lúa</v>
      </c>
      <c r="N38" s="323">
        <v>40000</v>
      </c>
      <c r="Q38" s="193">
        <f>+'[10]16-ThuNSNN2018'!$N$9</f>
        <v>563150</v>
      </c>
      <c r="R38" s="193">
        <f t="shared" si="12"/>
        <v>61950</v>
      </c>
    </row>
    <row r="39" spans="1:18">
      <c r="A39">
        <v>15</v>
      </c>
      <c r="B39" t="str">
        <f t="shared" si="13"/>
        <v>Đức Huệ</v>
      </c>
      <c r="C39" s="193">
        <f>'[6]17-ChiNSDP2018'!$Y$17</f>
        <v>20365.509999999998</v>
      </c>
      <c r="D39" s="193">
        <f>'[6]17-ChiNSDP2018'!$Y$26</f>
        <v>286325.69</v>
      </c>
      <c r="E39" s="193">
        <f>'[6]17-ChiNSDP2018'!$Y$28</f>
        <v>141152.10066666667</v>
      </c>
      <c r="F39" s="193">
        <f>'[6]17-ChiNSDP2018'!$Y$39</f>
        <v>2605</v>
      </c>
      <c r="G39" s="193">
        <f>'[6]17-ChiNSDP2018'!$Y$49</f>
        <v>6172.8</v>
      </c>
      <c r="H39" s="193">
        <f>'[6]17-ChiNSDP2018'!$Y$50</f>
        <v>-18224</v>
      </c>
      <c r="I39" s="193">
        <f t="shared" si="9"/>
        <v>0</v>
      </c>
      <c r="J39" s="193">
        <f t="shared" si="10"/>
        <v>18224</v>
      </c>
      <c r="L39" t="str">
        <f t="shared" si="11"/>
        <v>GD</v>
      </c>
      <c r="O39" s="323">
        <v>170000</v>
      </c>
      <c r="Q39" s="193">
        <f>'[6]16-ThuNSNN2018'!$N$9</f>
        <v>70870</v>
      </c>
      <c r="R39" s="193">
        <f t="shared" si="12"/>
        <v>5350</v>
      </c>
    </row>
    <row r="40" spans="1:18">
      <c r="C40" s="390">
        <f t="shared" ref="C40" si="14">SUM(C25:C39)</f>
        <v>316750.93</v>
      </c>
      <c r="D40" s="390">
        <f t="shared" ref="D40" si="15">SUM(D25:D39)</f>
        <v>5184135.0411111116</v>
      </c>
      <c r="E40" s="390">
        <f t="shared" ref="E40" si="16">SUM(E25:E39)</f>
        <v>2761712.7117111115</v>
      </c>
      <c r="F40" s="390">
        <f t="shared" ref="F40" si="17">SUM(F25:F39)</f>
        <v>80966.899999999994</v>
      </c>
      <c r="G40" s="390">
        <f t="shared" ref="G40" si="18">SUM(G25:G39)</f>
        <v>187175.13999999998</v>
      </c>
      <c r="H40" s="390">
        <f t="shared" ref="H40" si="19">SUM(H25:H39)</f>
        <v>-73417.111111111095</v>
      </c>
      <c r="I40" s="390">
        <f t="shared" ref="I40" si="20">SUM(I25:I39)</f>
        <v>129664.22222222222</v>
      </c>
      <c r="J40" s="390">
        <f t="shared" ref="J40" si="21">SUM(J25:J39)</f>
        <v>203081.33333333337</v>
      </c>
      <c r="K40" s="390">
        <f t="shared" ref="K40" si="22">SUM(K25:K39)</f>
        <v>5000</v>
      </c>
      <c r="L40" s="390">
        <f t="shared" ref="L40" si="23">SUM(L25:L39)</f>
        <v>0</v>
      </c>
      <c r="M40" s="390">
        <f>SUM(M25:M39)</f>
        <v>1500557</v>
      </c>
      <c r="N40" s="390">
        <f t="shared" ref="N40" si="24">SUM(N25:N39)</f>
        <v>699607</v>
      </c>
      <c r="O40" s="390">
        <f t="shared" ref="O40" si="25">SUM(O25:O39)</f>
        <v>611120</v>
      </c>
      <c r="P40" s="390">
        <f>SUM(M40:O40)</f>
        <v>2811284</v>
      </c>
      <c r="Q40" s="390">
        <f>SUM(Q25:Q39)</f>
        <v>3031120</v>
      </c>
      <c r="R40" s="390">
        <f>SUM(R25:R39)</f>
        <v>321300</v>
      </c>
    </row>
  </sheetData>
  <customSheetViews>
    <customSheetView guid="{9F606621-8853-4836-9A7E-DBA5CF152671}" topLeftCell="A17">
      <pageMargins left="0.51181102362204722" right="0.11811023622047245" top="0.74803149606299213" bottom="0.35433070866141736" header="0.31496062992125984" footer="0.31496062992125984"/>
      <printOptions gridLines="1"/>
      <pageSetup paperSize="9" scale="80" orientation="landscape" r:id="rId1"/>
    </customSheetView>
    <customSheetView guid="{DB9039ED-C6EA-422D-9A5D-D152D95EDC67}" topLeftCell="A17">
      <pageMargins left="0.51181102362204722" right="0.11811023622047245" top="0.74803149606299213" bottom="0.35433070866141736" header="0.31496062992125984" footer="0.31496062992125984"/>
      <printOptions gridLines="1"/>
      <pageSetup paperSize="9" scale="80" orientation="landscape" r:id="rId2"/>
    </customSheetView>
  </customSheetViews>
  <printOptions gridLines="1"/>
  <pageMargins left="0.51181102362204722" right="0.11811023622047245" top="0.74803149606299213" bottom="0.35433070866141736" header="0.31496062992125984" footer="0.31496062992125984"/>
  <pageSetup paperSize="9" scale="80" orientation="landscape" r:id="rId3"/>
</worksheet>
</file>

<file path=xl/worksheets/sheet8.xml><?xml version="1.0" encoding="utf-8"?>
<worksheet xmlns="http://schemas.openxmlformats.org/spreadsheetml/2006/main" xmlns:r="http://schemas.openxmlformats.org/officeDocument/2006/relationships">
  <dimension ref="A1:J38"/>
  <sheetViews>
    <sheetView workbookViewId="0">
      <selection activeCell="C7" sqref="C7"/>
    </sheetView>
  </sheetViews>
  <sheetFormatPr defaultColWidth="9.140625" defaultRowHeight="15"/>
  <cols>
    <col min="1" max="1" width="5.7109375" style="1" customWidth="1"/>
    <col min="2" max="2" width="45.28515625" style="1" customWidth="1"/>
    <col min="3" max="7" width="11.85546875" style="1" customWidth="1"/>
    <col min="8" max="16384" width="9.140625" style="1"/>
  </cols>
  <sheetData>
    <row r="1" spans="1:10">
      <c r="A1" s="706" t="s">
        <v>256</v>
      </c>
      <c r="B1" s="706"/>
      <c r="C1" s="706"/>
      <c r="D1" s="706"/>
      <c r="E1" s="706"/>
      <c r="F1" s="706"/>
      <c r="G1" s="706"/>
    </row>
    <row r="2" spans="1:10" ht="55.9" customHeight="1">
      <c r="A2" s="718" t="s">
        <v>792</v>
      </c>
      <c r="B2" s="718"/>
      <c r="C2" s="718"/>
      <c r="D2" s="718"/>
      <c r="E2" s="718"/>
      <c r="F2" s="718"/>
      <c r="G2" s="718"/>
    </row>
    <row r="3" spans="1:10">
      <c r="A3" s="707"/>
      <c r="B3" s="707"/>
      <c r="C3" s="707"/>
      <c r="D3" s="707"/>
      <c r="E3" s="707"/>
      <c r="F3" s="707"/>
      <c r="G3" s="707"/>
    </row>
    <row r="4" spans="1:10">
      <c r="F4" s="708" t="s">
        <v>56</v>
      </c>
      <c r="G4" s="708"/>
    </row>
    <row r="5" spans="1:10" ht="62.25" customHeight="1">
      <c r="A5" s="7" t="s">
        <v>3</v>
      </c>
      <c r="B5" s="7" t="s">
        <v>257</v>
      </c>
      <c r="C5" s="7" t="s">
        <v>793</v>
      </c>
      <c r="D5" s="7" t="s">
        <v>789</v>
      </c>
      <c r="E5" s="7" t="s">
        <v>226</v>
      </c>
      <c r="F5" s="7" t="s">
        <v>794</v>
      </c>
      <c r="G5" s="7" t="s">
        <v>795</v>
      </c>
      <c r="I5" s="1" t="s">
        <v>1271</v>
      </c>
      <c r="J5" s="1" t="s">
        <v>1272</v>
      </c>
    </row>
    <row r="6" spans="1:10">
      <c r="A6" s="7" t="s">
        <v>15</v>
      </c>
      <c r="B6" s="7" t="s">
        <v>16</v>
      </c>
      <c r="C6" s="7">
        <v>1</v>
      </c>
      <c r="D6" s="7">
        <v>2</v>
      </c>
      <c r="E6" s="7" t="s">
        <v>258</v>
      </c>
      <c r="F6" s="7">
        <v>4</v>
      </c>
      <c r="G6" s="7">
        <v>5</v>
      </c>
    </row>
    <row r="7" spans="1:10">
      <c r="A7" s="63"/>
      <c r="B7" s="56" t="s">
        <v>259</v>
      </c>
      <c r="C7" s="113">
        <f>+C10+C24+C27+C30</f>
        <v>12135000</v>
      </c>
      <c r="D7" s="113" t="e">
        <f>+D10+D24+D27+D30</f>
        <v>#REF!</v>
      </c>
      <c r="E7" s="113">
        <f>+E10+E24+E27+E30</f>
        <v>847750</v>
      </c>
      <c r="F7" s="113">
        <f>+F10+F24+F27+F30</f>
        <v>13817000</v>
      </c>
      <c r="G7" s="113">
        <f>+G10+G24+G27+G30</f>
        <v>15268000</v>
      </c>
    </row>
    <row r="8" spans="1:10">
      <c r="A8" s="59"/>
      <c r="B8" s="64" t="s">
        <v>63</v>
      </c>
      <c r="C8" s="109"/>
      <c r="D8" s="109"/>
      <c r="E8" s="109"/>
      <c r="F8" s="109"/>
      <c r="G8" s="109"/>
    </row>
    <row r="9" spans="1:10">
      <c r="A9" s="59"/>
      <c r="B9" s="64" t="s">
        <v>260</v>
      </c>
      <c r="C9" s="109"/>
      <c r="D9" s="109"/>
      <c r="E9" s="109"/>
      <c r="F9" s="109"/>
      <c r="G9" s="109"/>
    </row>
    <row r="10" spans="1:10">
      <c r="A10" s="57" t="s">
        <v>83</v>
      </c>
      <c r="B10" s="58" t="s">
        <v>65</v>
      </c>
      <c r="C10" s="110">
        <f>'13-DGThuNSNN2017'!G9</f>
        <v>10230000</v>
      </c>
      <c r="D10" s="110" t="e">
        <f>'48-CK NSNN'!#REF!</f>
        <v>#REF!</v>
      </c>
      <c r="E10" s="110">
        <f>SUM(E14:E23)</f>
        <v>822750</v>
      </c>
      <c r="F10" s="110">
        <v>11852000</v>
      </c>
      <c r="G10" s="110">
        <v>13238000</v>
      </c>
      <c r="I10" s="105">
        <f>'[2]TH 2017'!$C$11+1050657</f>
        <v>8621414</v>
      </c>
    </row>
    <row r="11" spans="1:10">
      <c r="A11" s="59"/>
      <c r="B11" s="64" t="s">
        <v>261</v>
      </c>
      <c r="C11" s="117">
        <f>C10/I10</f>
        <v>1.1865802987769756</v>
      </c>
      <c r="D11" s="117" t="e">
        <f>D10/C10</f>
        <v>#REF!</v>
      </c>
      <c r="E11" s="109"/>
      <c r="F11" s="117" t="e">
        <f>+F10/D10</f>
        <v>#REF!</v>
      </c>
      <c r="G11" s="117">
        <f>+G10/F10</f>
        <v>1.1169422882213973</v>
      </c>
    </row>
    <row r="12" spans="1:10">
      <c r="A12" s="59"/>
      <c r="B12" s="64" t="s">
        <v>262</v>
      </c>
      <c r="C12" s="117">
        <f>C10/C7</f>
        <v>0.84301606922126082</v>
      </c>
      <c r="D12" s="117" t="e">
        <f>D10/D7</f>
        <v>#REF!</v>
      </c>
      <c r="E12" s="109"/>
      <c r="F12" s="117">
        <f>F10/F7</f>
        <v>0.85778388941159445</v>
      </c>
      <c r="G12" s="117">
        <f>G10/G7</f>
        <v>0.86704217972229503</v>
      </c>
    </row>
    <row r="13" spans="1:10">
      <c r="A13" s="59"/>
      <c r="B13" s="64" t="s">
        <v>134</v>
      </c>
      <c r="C13" s="109"/>
      <c r="D13" s="109"/>
      <c r="E13" s="109"/>
      <c r="F13" s="109"/>
      <c r="G13" s="109"/>
    </row>
    <row r="14" spans="1:10" ht="30">
      <c r="A14" s="59">
        <v>1</v>
      </c>
      <c r="B14" s="60" t="s">
        <v>263</v>
      </c>
      <c r="C14" s="109">
        <f>+'13-DGThuNSNN2017'!G12</f>
        <v>438000</v>
      </c>
      <c r="D14" s="109">
        <f>+'48-CK NSNN'!E13</f>
        <v>415000</v>
      </c>
      <c r="E14" s="109">
        <f>D14-C14</f>
        <v>-23000</v>
      </c>
      <c r="F14" s="109">
        <v>450000</v>
      </c>
      <c r="G14" s="109">
        <v>500000</v>
      </c>
    </row>
    <row r="15" spans="1:10" ht="30">
      <c r="A15" s="59">
        <v>2</v>
      </c>
      <c r="B15" s="60" t="s">
        <v>264</v>
      </c>
      <c r="C15" s="109">
        <f>+'13-DGThuNSNN2017'!G17</f>
        <v>130000</v>
      </c>
      <c r="D15" s="109">
        <f>+'48-CK NSNN'!E18</f>
        <v>105000</v>
      </c>
      <c r="E15" s="109">
        <f t="shared" ref="E15:E27" si="0">D15-C15</f>
        <v>-25000</v>
      </c>
      <c r="F15" s="109">
        <v>110000</v>
      </c>
      <c r="G15" s="109">
        <v>115000</v>
      </c>
    </row>
    <row r="16" spans="1:10" ht="30">
      <c r="A16" s="59">
        <v>3</v>
      </c>
      <c r="B16" s="60" t="s">
        <v>265</v>
      </c>
      <c r="C16" s="109">
        <f>+'13-DGThuNSNN2017'!G22</f>
        <v>1784000</v>
      </c>
      <c r="D16" s="109">
        <f>+'48-CK NSNN'!E23</f>
        <v>2300000</v>
      </c>
      <c r="E16" s="109">
        <f t="shared" si="0"/>
        <v>516000</v>
      </c>
      <c r="F16" s="109">
        <v>2630000</v>
      </c>
      <c r="G16" s="109">
        <v>3000000</v>
      </c>
    </row>
    <row r="17" spans="1:9">
      <c r="A17" s="59">
        <v>4</v>
      </c>
      <c r="B17" s="60" t="s">
        <v>266</v>
      </c>
      <c r="C17" s="109">
        <f>+'13-DGThuNSNN2017'!G29</f>
        <v>2547550</v>
      </c>
      <c r="D17" s="109">
        <f>+'48-CK NSNN'!E29</f>
        <v>2995000</v>
      </c>
      <c r="E17" s="109">
        <f t="shared" si="0"/>
        <v>447450</v>
      </c>
      <c r="F17" s="109">
        <v>3551500</v>
      </c>
      <c r="G17" s="109">
        <v>4050000</v>
      </c>
    </row>
    <row r="18" spans="1:9">
      <c r="A18" s="59">
        <v>5</v>
      </c>
      <c r="B18" s="60" t="s">
        <v>267</v>
      </c>
      <c r="C18" s="109">
        <f>+'13-DGThuNSNN2017'!G35</f>
        <v>1200000</v>
      </c>
      <c r="D18" s="109">
        <f>+'48-CK NSNN'!E34</f>
        <v>1485500</v>
      </c>
      <c r="E18" s="109">
        <f t="shared" si="0"/>
        <v>285500</v>
      </c>
      <c r="F18" s="109">
        <v>1620000</v>
      </c>
      <c r="G18" s="109">
        <v>1900000</v>
      </c>
    </row>
    <row r="19" spans="1:9">
      <c r="A19" s="59">
        <v>6</v>
      </c>
      <c r="B19" s="60" t="s">
        <v>268</v>
      </c>
      <c r="C19" s="109">
        <f>+'13-DGThuNSNN2017'!G36</f>
        <v>420000</v>
      </c>
      <c r="D19" s="109">
        <f>+'48-CK NSNN'!E35</f>
        <v>440000</v>
      </c>
      <c r="E19" s="109">
        <f t="shared" si="0"/>
        <v>20000</v>
      </c>
      <c r="F19" s="109">
        <v>469000</v>
      </c>
      <c r="G19" s="109">
        <v>490000</v>
      </c>
    </row>
    <row r="20" spans="1:9">
      <c r="A20" s="59">
        <v>7</v>
      </c>
      <c r="B20" s="60" t="s">
        <v>269</v>
      </c>
      <c r="C20" s="109">
        <f>+'13-DGThuNSNN2017'!G39</f>
        <v>340700</v>
      </c>
      <c r="D20" s="109">
        <f>+'48-CK NSNN'!E38</f>
        <v>396500</v>
      </c>
      <c r="E20" s="109">
        <f t="shared" si="0"/>
        <v>55800</v>
      </c>
      <c r="F20" s="109">
        <v>453000</v>
      </c>
      <c r="G20" s="109">
        <v>515000</v>
      </c>
    </row>
    <row r="21" spans="1:9">
      <c r="A21" s="59">
        <v>8</v>
      </c>
      <c r="B21" s="60" t="s">
        <v>270</v>
      </c>
      <c r="C21" s="109">
        <f>+'13-DGThuNSNN2017'!G49</f>
        <v>1100000</v>
      </c>
      <c r="D21" s="109">
        <f>+'48-CK NSNN'!E48</f>
        <v>690000</v>
      </c>
      <c r="E21" s="109">
        <f t="shared" si="0"/>
        <v>-410000</v>
      </c>
      <c r="F21" s="109">
        <v>370000</v>
      </c>
      <c r="G21" s="109">
        <v>380000</v>
      </c>
    </row>
    <row r="22" spans="1:9">
      <c r="A22" s="59">
        <v>9</v>
      </c>
      <c r="B22" s="60" t="s">
        <v>271</v>
      </c>
      <c r="C22" s="109">
        <f>+'13-DGThuNSNN2017'!G51</f>
        <v>1200000</v>
      </c>
      <c r="D22" s="109">
        <f>+'48-CK NSNN'!E50</f>
        <v>1200000</v>
      </c>
      <c r="E22" s="109"/>
      <c r="F22" s="109">
        <v>1260000</v>
      </c>
      <c r="G22" s="109">
        <v>1325000</v>
      </c>
    </row>
    <row r="23" spans="1:9" ht="30">
      <c r="A23" s="59">
        <v>10</v>
      </c>
      <c r="B23" s="60" t="s">
        <v>272</v>
      </c>
      <c r="C23" s="109">
        <f>+'13-DGThuNSNN2017'!G66</f>
        <v>84000</v>
      </c>
      <c r="D23" s="109">
        <f>+'48-CK NSNN'!E59</f>
        <v>40000</v>
      </c>
      <c r="E23" s="109">
        <f t="shared" si="0"/>
        <v>-44000</v>
      </c>
      <c r="F23" s="109">
        <v>60000</v>
      </c>
      <c r="G23" s="109">
        <v>60000</v>
      </c>
    </row>
    <row r="24" spans="1:9">
      <c r="A24" s="57" t="s">
        <v>70</v>
      </c>
      <c r="B24" s="58" t="s">
        <v>273</v>
      </c>
      <c r="C24" s="109"/>
      <c r="D24" s="109"/>
      <c r="E24" s="109"/>
      <c r="F24" s="109"/>
      <c r="G24" s="109"/>
    </row>
    <row r="25" spans="1:9">
      <c r="A25" s="59"/>
      <c r="B25" s="64" t="s">
        <v>261</v>
      </c>
      <c r="C25" s="109"/>
      <c r="D25" s="109"/>
      <c r="E25" s="109"/>
      <c r="F25" s="109"/>
      <c r="G25" s="109"/>
    </row>
    <row r="26" spans="1:9">
      <c r="A26" s="59"/>
      <c r="B26" s="64" t="s">
        <v>262</v>
      </c>
      <c r="C26" s="109"/>
      <c r="D26" s="109"/>
      <c r="E26" s="109"/>
      <c r="F26" s="109"/>
      <c r="G26" s="109"/>
    </row>
    <row r="27" spans="1:9">
      <c r="A27" s="57" t="s">
        <v>73</v>
      </c>
      <c r="B27" s="58" t="s">
        <v>274</v>
      </c>
      <c r="C27" s="109">
        <f>'13-DGThuNSNN2017'!G70</f>
        <v>1905000</v>
      </c>
      <c r="D27" s="109">
        <f>'48-CK NSNN'!E61</f>
        <v>1930000</v>
      </c>
      <c r="E27" s="109">
        <f t="shared" si="0"/>
        <v>25000</v>
      </c>
      <c r="F27" s="109">
        <v>1965000</v>
      </c>
      <c r="G27" s="109">
        <v>2030000</v>
      </c>
      <c r="I27" s="105">
        <f>'[2]TH 2017'!$C$83</f>
        <v>1825832</v>
      </c>
    </row>
    <row r="28" spans="1:9">
      <c r="A28" s="59"/>
      <c r="B28" s="64" t="s">
        <v>261</v>
      </c>
      <c r="C28" s="109"/>
      <c r="D28" s="117">
        <f>D27/C27</f>
        <v>1.0131233595800524</v>
      </c>
      <c r="E28" s="109"/>
      <c r="F28" s="117">
        <f>F27/D27</f>
        <v>1.0181347150259068</v>
      </c>
      <c r="G28" s="117">
        <f>G27/F27</f>
        <v>1.0330788804071247</v>
      </c>
    </row>
    <row r="29" spans="1:9">
      <c r="A29" s="59"/>
      <c r="B29" s="64" t="s">
        <v>262</v>
      </c>
      <c r="C29" s="117">
        <f>C27/C7</f>
        <v>0.15698393077873918</v>
      </c>
      <c r="D29" s="117" t="e">
        <f>D27/D7</f>
        <v>#REF!</v>
      </c>
      <c r="E29" s="109"/>
      <c r="F29" s="117">
        <f>F27/F7</f>
        <v>0.14221611058840558</v>
      </c>
      <c r="G29" s="117">
        <f>G27/G7</f>
        <v>0.132957820277705</v>
      </c>
    </row>
    <row r="30" spans="1:9">
      <c r="A30" s="57" t="s">
        <v>77</v>
      </c>
      <c r="B30" s="58" t="s">
        <v>275</v>
      </c>
      <c r="C30" s="109"/>
      <c r="D30" s="109"/>
      <c r="E30" s="109"/>
      <c r="F30" s="109"/>
      <c r="G30" s="109"/>
    </row>
    <row r="31" spans="1:9">
      <c r="A31" s="59"/>
      <c r="B31" s="64" t="s">
        <v>261</v>
      </c>
      <c r="C31" s="109"/>
      <c r="D31" s="109"/>
      <c r="E31" s="109"/>
      <c r="F31" s="109"/>
      <c r="G31" s="109"/>
    </row>
    <row r="32" spans="1:9">
      <c r="A32" s="65"/>
      <c r="B32" s="66" t="s">
        <v>262</v>
      </c>
      <c r="C32" s="112"/>
      <c r="D32" s="112"/>
      <c r="E32" s="112"/>
      <c r="F32" s="112"/>
      <c r="G32" s="112"/>
    </row>
    <row r="33" spans="1:7" ht="23.25" customHeight="1">
      <c r="A33" s="16" t="s">
        <v>276</v>
      </c>
    </row>
    <row r="34" spans="1:7" ht="33.75" customHeight="1">
      <c r="A34" s="709" t="s">
        <v>277</v>
      </c>
      <c r="B34" s="709"/>
      <c r="C34" s="709"/>
      <c r="D34" s="709"/>
      <c r="E34" s="709"/>
      <c r="F34" s="709"/>
      <c r="G34" s="709"/>
    </row>
    <row r="35" spans="1:7" ht="36.75" customHeight="1">
      <c r="A35" s="709" t="s">
        <v>278</v>
      </c>
      <c r="B35" s="709"/>
      <c r="C35" s="709"/>
      <c r="D35" s="709"/>
      <c r="E35" s="709"/>
      <c r="F35" s="709"/>
      <c r="G35" s="709"/>
    </row>
    <row r="36" spans="1:7" ht="52.5" customHeight="1">
      <c r="A36" s="709" t="s">
        <v>279</v>
      </c>
      <c r="B36" s="709"/>
      <c r="C36" s="709"/>
      <c r="D36" s="709"/>
      <c r="E36" s="709"/>
      <c r="F36" s="709"/>
      <c r="G36" s="709"/>
    </row>
    <row r="37" spans="1:7" ht="47.25" customHeight="1">
      <c r="A37" s="709" t="s">
        <v>280</v>
      </c>
      <c r="B37" s="709"/>
      <c r="C37" s="709"/>
      <c r="D37" s="709"/>
      <c r="E37" s="709"/>
      <c r="F37" s="709"/>
      <c r="G37" s="709"/>
    </row>
    <row r="38" spans="1:7" ht="27.75" customHeight="1">
      <c r="A38" s="709" t="s">
        <v>281</v>
      </c>
      <c r="B38" s="709"/>
      <c r="C38" s="709"/>
      <c r="D38" s="709"/>
      <c r="E38" s="709"/>
      <c r="F38" s="709"/>
      <c r="G38" s="709"/>
    </row>
  </sheetData>
  <customSheetViews>
    <customSheetView guid="{9F606621-8853-4836-9A7E-DBA5CF152671}" showPageBreaks="1" state="hidden">
      <selection activeCell="C7" sqref="C7"/>
      <pageMargins left="0.70866141732283472" right="0.35433070866141736" top="0.6" bottom="0.74803149606299213" header="0.31496062992125984" footer="0.31496062992125984"/>
      <pageSetup paperSize="9" scale="88" orientation="portrait" r:id="rId1"/>
    </customSheetView>
    <customSheetView guid="{DB9039ED-C6EA-422D-9A5D-D152D95EDC67}" scale="85" showPageBreaks="1" printArea="1" topLeftCell="A2">
      <selection activeCell="D10" sqref="D10"/>
      <pageMargins left="0.70866141732283472" right="0.35433070866141736" top="0.59055118110236227" bottom="0.74803149606299213" header="0.31496062992125984" footer="0.31496062992125984"/>
      <printOptions horizontalCentered="1"/>
      <pageSetup paperSize="9" scale="80" orientation="portrait" r:id="rId2"/>
    </customSheetView>
  </customSheetViews>
  <mergeCells count="9">
    <mergeCell ref="A36:G36"/>
    <mergeCell ref="A37:G37"/>
    <mergeCell ref="A38:G38"/>
    <mergeCell ref="A1:G1"/>
    <mergeCell ref="A2:G2"/>
    <mergeCell ref="A3:G3"/>
    <mergeCell ref="F4:G4"/>
    <mergeCell ref="A34:G34"/>
    <mergeCell ref="A35:G35"/>
  </mergeCells>
  <pageMargins left="0.70866141732283472" right="0.35433070866141736" top="0.6" bottom="0.74803149606299213" header="0.31496062992125984" footer="0.31496062992125984"/>
  <pageSetup paperSize="9" scale="88" orientation="portrait" r:id="rId3"/>
</worksheet>
</file>

<file path=xl/worksheets/sheet9.xml><?xml version="1.0" encoding="utf-8"?>
<worksheet xmlns="http://schemas.openxmlformats.org/spreadsheetml/2006/main" xmlns:r="http://schemas.openxmlformats.org/officeDocument/2006/relationships">
  <sheetPr>
    <tabColor theme="5" tint="0.39997558519241921"/>
  </sheetPr>
  <dimension ref="A1:K38"/>
  <sheetViews>
    <sheetView workbookViewId="0">
      <selection activeCell="G20" sqref="G20"/>
    </sheetView>
  </sheetViews>
  <sheetFormatPr defaultColWidth="9.140625" defaultRowHeight="15"/>
  <cols>
    <col min="1" max="1" width="5.42578125" style="1" customWidth="1"/>
    <col min="2" max="2" width="42.28515625" style="1" customWidth="1"/>
    <col min="3" max="4" width="11" style="105" customWidth="1"/>
    <col min="5" max="5" width="10.5703125" style="105" customWidth="1"/>
    <col min="6" max="6" width="12" style="105" customWidth="1"/>
    <col min="7" max="7" width="11.7109375" style="105" customWidth="1"/>
    <col min="8" max="10" width="9.140625" style="1"/>
    <col min="11" max="11" width="11.42578125" style="1" customWidth="1"/>
    <col min="12" max="16384" width="9.140625" style="1"/>
  </cols>
  <sheetData>
    <row r="1" spans="1:11">
      <c r="A1" s="719" t="s">
        <v>282</v>
      </c>
      <c r="B1" s="719"/>
      <c r="C1" s="719"/>
      <c r="D1" s="719"/>
      <c r="E1" s="719"/>
      <c r="F1" s="719"/>
      <c r="G1" s="719"/>
    </row>
    <row r="2" spans="1:11" ht="45.75" customHeight="1">
      <c r="A2" s="701" t="s">
        <v>798</v>
      </c>
      <c r="B2" s="701"/>
      <c r="C2" s="701"/>
      <c r="D2" s="701"/>
      <c r="E2" s="701"/>
      <c r="F2" s="701"/>
      <c r="G2" s="701"/>
    </row>
    <row r="3" spans="1:11">
      <c r="A3" s="720"/>
      <c r="B3" s="720"/>
      <c r="C3" s="720"/>
      <c r="D3" s="720"/>
      <c r="E3" s="720"/>
      <c r="F3" s="720"/>
      <c r="G3" s="720"/>
    </row>
    <row r="4" spans="1:11">
      <c r="F4" s="721" t="s">
        <v>56</v>
      </c>
      <c r="G4" s="721"/>
    </row>
    <row r="5" spans="1:11" ht="42.75">
      <c r="A5" s="7" t="s">
        <v>3</v>
      </c>
      <c r="B5" s="7" t="s">
        <v>4</v>
      </c>
      <c r="C5" s="445" t="s">
        <v>796</v>
      </c>
      <c r="D5" s="445" t="s">
        <v>797</v>
      </c>
      <c r="E5" s="445" t="s">
        <v>789</v>
      </c>
      <c r="F5" s="445" t="s">
        <v>790</v>
      </c>
      <c r="G5" s="445" t="s">
        <v>791</v>
      </c>
    </row>
    <row r="6" spans="1:11">
      <c r="A6" s="7" t="s">
        <v>15</v>
      </c>
      <c r="B6" s="7" t="s">
        <v>16</v>
      </c>
      <c r="C6" s="445">
        <v>1</v>
      </c>
      <c r="D6" s="445">
        <v>2</v>
      </c>
      <c r="E6" s="445">
        <v>3</v>
      </c>
      <c r="F6" s="445">
        <v>4</v>
      </c>
      <c r="G6" s="445">
        <v>5</v>
      </c>
    </row>
    <row r="7" spans="1:11">
      <c r="A7" s="55" t="s">
        <v>15</v>
      </c>
      <c r="B7" s="56" t="s">
        <v>283</v>
      </c>
      <c r="C7" s="487"/>
      <c r="D7" s="487"/>
      <c r="E7" s="487"/>
      <c r="F7" s="487"/>
      <c r="G7" s="487"/>
    </row>
    <row r="8" spans="1:11">
      <c r="A8" s="57" t="s">
        <v>83</v>
      </c>
      <c r="B8" s="58" t="s">
        <v>284</v>
      </c>
      <c r="C8" s="110">
        <f>+C9+C10+C13+C14+C15</f>
        <v>7948125</v>
      </c>
      <c r="D8" s="110">
        <f>+D9+D10+D13+D14+D15</f>
        <v>10239454.312350001</v>
      </c>
      <c r="E8" s="110">
        <f>+E9+E10+E13+E14+E15</f>
        <v>9240241</v>
      </c>
      <c r="F8" s="110" t="e">
        <f>+F9+F10+F13+F14+F15</f>
        <v>#REF!</v>
      </c>
      <c r="G8" s="110" t="e">
        <f>+G9+G10+G13+G14+G15</f>
        <v>#REF!</v>
      </c>
    </row>
    <row r="9" spans="1:11">
      <c r="A9" s="83">
        <v>1</v>
      </c>
      <c r="B9" s="60" t="s">
        <v>285</v>
      </c>
      <c r="C9" s="109">
        <f>'47-CK NSNN'!C11</f>
        <v>7154305</v>
      </c>
      <c r="D9" s="109">
        <f>'47-CK NSNN'!D11</f>
        <v>7038825.3123500003</v>
      </c>
      <c r="E9" s="109">
        <f>'47-CK NSNN'!E11</f>
        <v>7931230</v>
      </c>
      <c r="F9" s="109">
        <v>8688151</v>
      </c>
      <c r="G9" s="109">
        <v>9726668</v>
      </c>
      <c r="K9" s="105">
        <f>+D17+D32</f>
        <v>10410353.187262334</v>
      </c>
    </row>
    <row r="10" spans="1:11">
      <c r="A10" s="83">
        <v>2</v>
      </c>
      <c r="B10" s="60" t="s">
        <v>286</v>
      </c>
      <c r="C10" s="109">
        <f>SUM(C11:C12)</f>
        <v>793820</v>
      </c>
      <c r="D10" s="109">
        <f>SUM(D11:D12)</f>
        <v>793820</v>
      </c>
      <c r="E10" s="109">
        <f>SUM(E11:E12)</f>
        <v>1265415</v>
      </c>
      <c r="F10" s="109" t="e">
        <f>SUM(F11:F12)</f>
        <v>#REF!</v>
      </c>
      <c r="G10" s="109" t="e">
        <f>SUM(G11:G12)</f>
        <v>#REF!</v>
      </c>
      <c r="K10" s="105">
        <f>+D21+D30</f>
        <v>489226</v>
      </c>
    </row>
    <row r="11" spans="1:11">
      <c r="A11" s="83" t="s">
        <v>22</v>
      </c>
      <c r="B11" s="60" t="s">
        <v>234</v>
      </c>
      <c r="C11" s="109">
        <f>'47-CK NSNN'!C13</f>
        <v>266017</v>
      </c>
      <c r="D11" s="109">
        <f>+'47-CK NSNN'!D13</f>
        <v>266017</v>
      </c>
      <c r="E11" s="109">
        <f>+'47-CK NSNN'!E13</f>
        <v>266017</v>
      </c>
      <c r="F11" s="109">
        <v>266017</v>
      </c>
      <c r="G11" s="109">
        <v>266017</v>
      </c>
      <c r="K11" s="105">
        <f>+K9+K10</f>
        <v>10899579.187262334</v>
      </c>
    </row>
    <row r="12" spans="1:11">
      <c r="A12" s="83" t="s">
        <v>22</v>
      </c>
      <c r="B12" s="60" t="s">
        <v>88</v>
      </c>
      <c r="C12" s="109">
        <f>'47-CK NSNN'!C14</f>
        <v>527803</v>
      </c>
      <c r="D12" s="109">
        <f>+'47-CK NSNN'!D14</f>
        <v>527803</v>
      </c>
      <c r="E12" s="109">
        <f>+'47-CK NSNN'!E14</f>
        <v>999398</v>
      </c>
      <c r="F12" s="109" t="e">
        <f>'10-ChiNST3nam'!F15+'10-ChiNST3nam'!F16+'10-ChiNST3nam'!F20+'10-ChiNST3nam'!F21</f>
        <v>#REF!</v>
      </c>
      <c r="G12" s="109" t="e">
        <f>'10-ChiNST3nam'!G15+'10-ChiNST3nam'!G16+'10-ChiNST3nam'!G20+'10-ChiNST3nam'!G21</f>
        <v>#REF!</v>
      </c>
    </row>
    <row r="13" spans="1:11">
      <c r="A13" s="83">
        <v>3</v>
      </c>
      <c r="B13" s="60" t="s">
        <v>235</v>
      </c>
      <c r="C13" s="109">
        <f>'47-CK NSNN'!C15</f>
        <v>0</v>
      </c>
      <c r="D13" s="109">
        <f>+'47-CK NSNN'!D15</f>
        <v>0</v>
      </c>
      <c r="E13" s="109"/>
      <c r="F13" s="109"/>
      <c r="G13" s="109"/>
    </row>
    <row r="14" spans="1:11">
      <c r="A14" s="83">
        <v>4</v>
      </c>
      <c r="B14" s="60" t="s">
        <v>287</v>
      </c>
      <c r="C14" s="109">
        <f>'47-CK NSNN'!C16</f>
        <v>0</v>
      </c>
      <c r="D14" s="109">
        <f>+'47-CK NSNN'!D16</f>
        <v>39103</v>
      </c>
      <c r="E14" s="109">
        <v>43596</v>
      </c>
      <c r="F14" s="109">
        <v>34325</v>
      </c>
      <c r="G14" s="109"/>
    </row>
    <row r="15" spans="1:11">
      <c r="A15" s="83">
        <v>5</v>
      </c>
      <c r="B15" s="60" t="s">
        <v>237</v>
      </c>
      <c r="C15" s="109">
        <f>'47-CK NSNN'!C17</f>
        <v>0</v>
      </c>
      <c r="D15" s="109">
        <f>+'47-CK NSNN'!D17</f>
        <v>2367706</v>
      </c>
      <c r="E15" s="109"/>
      <c r="F15" s="109"/>
      <c r="G15" s="109"/>
    </row>
    <row r="16" spans="1:11">
      <c r="A16" s="57" t="s">
        <v>70</v>
      </c>
      <c r="B16" s="58" t="s">
        <v>288</v>
      </c>
      <c r="C16" s="110">
        <f>+C17+C18+C21</f>
        <v>7825091</v>
      </c>
      <c r="D16" s="110">
        <f>+D17+D18+D21</f>
        <v>8225755.9579569995</v>
      </c>
      <c r="E16" s="110">
        <f>+E17+E18+E21</f>
        <v>9330241</v>
      </c>
      <c r="F16" s="110" t="e">
        <f>+F17+F18+F21</f>
        <v>#REF!</v>
      </c>
      <c r="G16" s="110" t="e">
        <f>+G17+G18+G21</f>
        <v>#REF!</v>
      </c>
    </row>
    <row r="17" spans="1:7">
      <c r="A17" s="83">
        <v>1</v>
      </c>
      <c r="B17" s="60" t="s">
        <v>289</v>
      </c>
      <c r="C17" s="109">
        <f>'47-CK NSNN'!C19</f>
        <v>4573584</v>
      </c>
      <c r="D17" s="109">
        <f>+'47-CK NSNN'!D19</f>
        <v>4795559.9579569995</v>
      </c>
      <c r="E17" s="109">
        <f>+'47-CK NSNN'!E19</f>
        <v>6270960</v>
      </c>
      <c r="F17" s="109" t="e">
        <f>'10-ChiNST3nam'!F11</f>
        <v>#REF!</v>
      </c>
      <c r="G17" s="109" t="e">
        <f>'10-ChiNST3nam'!G11</f>
        <v>#REF!</v>
      </c>
    </row>
    <row r="18" spans="1:7">
      <c r="A18" s="83">
        <v>2</v>
      </c>
      <c r="B18" s="60" t="s">
        <v>290</v>
      </c>
      <c r="C18" s="109">
        <f>SUM(C19:C20)</f>
        <v>3251507</v>
      </c>
      <c r="D18" s="109">
        <f>SUM(D19:D20)</f>
        <v>3342463</v>
      </c>
      <c r="E18" s="109">
        <f>SUM(E19:E20)</f>
        <v>3059281</v>
      </c>
      <c r="F18" s="109">
        <f>SUM(F19:F20)</f>
        <v>3126682</v>
      </c>
      <c r="G18" s="109">
        <f>SUM(G19:G20)</f>
        <v>3221105</v>
      </c>
    </row>
    <row r="19" spans="1:7">
      <c r="A19" s="83" t="s">
        <v>22</v>
      </c>
      <c r="B19" s="60" t="s">
        <v>291</v>
      </c>
      <c r="C19" s="109">
        <f>+'47-CK NSNN'!C21</f>
        <v>2918024</v>
      </c>
      <c r="D19" s="109">
        <f>+'47-CK NSNN'!D21</f>
        <v>2882240</v>
      </c>
      <c r="E19" s="109">
        <f>+'47-CK NSNN'!E21</f>
        <v>2959281</v>
      </c>
      <c r="F19" s="109">
        <f>'10-ChiNST3nam'!F9</f>
        <v>3026682</v>
      </c>
      <c r="G19" s="109">
        <f>'10-ChiNST3nam'!G9</f>
        <v>3121105</v>
      </c>
    </row>
    <row r="20" spans="1:7">
      <c r="A20" s="83" t="s">
        <v>22</v>
      </c>
      <c r="B20" s="60" t="s">
        <v>292</v>
      </c>
      <c r="C20" s="109">
        <f>+'47-CK NSNN'!C22</f>
        <v>333483</v>
      </c>
      <c r="D20" s="109">
        <f>+'47-CK NSNN'!D22</f>
        <v>460223</v>
      </c>
      <c r="E20" s="109">
        <f>+'47-CK NSNN'!E22</f>
        <v>100000</v>
      </c>
      <c r="F20" s="109">
        <f>+'10-ChiNST3nam'!F10</f>
        <v>100000</v>
      </c>
      <c r="G20" s="109">
        <f>+'10-ChiNST3nam'!G10</f>
        <v>100000</v>
      </c>
    </row>
    <row r="21" spans="1:7">
      <c r="A21" s="83">
        <v>3</v>
      </c>
      <c r="B21" s="60" t="s">
        <v>245</v>
      </c>
      <c r="C21" s="109"/>
      <c r="D21" s="109">
        <f>+'47-CK NSNN'!D23</f>
        <v>87733</v>
      </c>
      <c r="E21" s="109"/>
      <c r="F21" s="109"/>
      <c r="G21" s="109"/>
    </row>
    <row r="22" spans="1:7">
      <c r="A22" s="57" t="s">
        <v>73</v>
      </c>
      <c r="B22" s="58" t="s">
        <v>293</v>
      </c>
      <c r="C22" s="110">
        <f>+C8-C16</f>
        <v>123034</v>
      </c>
      <c r="D22" s="110">
        <f>+D8-D16</f>
        <v>2013698.3543930016</v>
      </c>
      <c r="E22" s="110">
        <f>+E8-E16</f>
        <v>-90000</v>
      </c>
      <c r="F22" s="110" t="e">
        <f>+F8-F16</f>
        <v>#REF!</v>
      </c>
      <c r="G22" s="110" t="e">
        <f>+G8-G16</f>
        <v>#REF!</v>
      </c>
    </row>
    <row r="23" spans="1:7">
      <c r="A23" s="57" t="s">
        <v>16</v>
      </c>
      <c r="B23" s="58" t="s">
        <v>294</v>
      </c>
      <c r="C23" s="109"/>
      <c r="D23" s="109"/>
      <c r="E23" s="109"/>
      <c r="F23" s="109"/>
      <c r="G23" s="109"/>
    </row>
    <row r="24" spans="1:7">
      <c r="A24" s="57" t="s">
        <v>83</v>
      </c>
      <c r="B24" s="58" t="s">
        <v>284</v>
      </c>
      <c r="C24" s="110" t="e">
        <f>+C25+C26+C29+C30</f>
        <v>#REF!</v>
      </c>
      <c r="D24" s="110">
        <f>+D25+D26+D29+D30</f>
        <v>6506906</v>
      </c>
      <c r="E24" s="110">
        <f>+E25+E26+E29+E30</f>
        <v>5619961</v>
      </c>
      <c r="F24" s="110">
        <f>+F25+F26+F29+F30</f>
        <v>5836502</v>
      </c>
      <c r="G24" s="110">
        <f>+G25+G26+G29+G30</f>
        <v>6253225</v>
      </c>
    </row>
    <row r="25" spans="1:7">
      <c r="A25" s="83">
        <v>1</v>
      </c>
      <c r="B25" s="60" t="s">
        <v>285</v>
      </c>
      <c r="C25" s="109" t="e">
        <f>'19-DGCDNS T+H2017'!C26</f>
        <v>#REF!</v>
      </c>
      <c r="D25" s="109">
        <f>+'47-CK NSNN'!D27</f>
        <v>2762950</v>
      </c>
      <c r="E25" s="109">
        <f>+'47-CK NSNN'!E27</f>
        <v>2560680</v>
      </c>
      <c r="F25" s="109">
        <v>2709820</v>
      </c>
      <c r="G25" s="109">
        <v>3032120</v>
      </c>
    </row>
    <row r="26" spans="1:7">
      <c r="A26" s="83">
        <v>2</v>
      </c>
      <c r="B26" s="60" t="s">
        <v>286</v>
      </c>
      <c r="C26" s="109">
        <f>SUM(C27:C28)</f>
        <v>3251507</v>
      </c>
      <c r="D26" s="109">
        <f>SUM(D27:D28)</f>
        <v>3342463</v>
      </c>
      <c r="E26" s="109">
        <f>SUM(E27:E28)</f>
        <v>3059281</v>
      </c>
      <c r="F26" s="109">
        <f>SUM(F27:F28)</f>
        <v>3126682</v>
      </c>
      <c r="G26" s="109">
        <f>SUM(G27:G28)</f>
        <v>3221105</v>
      </c>
    </row>
    <row r="27" spans="1:7">
      <c r="A27" s="83" t="s">
        <v>22</v>
      </c>
      <c r="B27" s="60" t="s">
        <v>234</v>
      </c>
      <c r="C27" s="109">
        <f t="shared" ref="C27:G28" si="0">C19</f>
        <v>2918024</v>
      </c>
      <c r="D27" s="109">
        <f t="shared" si="0"/>
        <v>2882240</v>
      </c>
      <c r="E27" s="109">
        <f t="shared" si="0"/>
        <v>2959281</v>
      </c>
      <c r="F27" s="109">
        <f t="shared" si="0"/>
        <v>3026682</v>
      </c>
      <c r="G27" s="109">
        <f t="shared" si="0"/>
        <v>3121105</v>
      </c>
    </row>
    <row r="28" spans="1:7">
      <c r="A28" s="83" t="s">
        <v>22</v>
      </c>
      <c r="B28" s="60" t="s">
        <v>88</v>
      </c>
      <c r="C28" s="109">
        <f t="shared" si="0"/>
        <v>333483</v>
      </c>
      <c r="D28" s="109">
        <f t="shared" si="0"/>
        <v>460223</v>
      </c>
      <c r="E28" s="109">
        <f t="shared" si="0"/>
        <v>100000</v>
      </c>
      <c r="F28" s="109">
        <f t="shared" si="0"/>
        <v>100000</v>
      </c>
      <c r="G28" s="109">
        <f t="shared" si="0"/>
        <v>100000</v>
      </c>
    </row>
    <row r="29" spans="1:7">
      <c r="A29" s="83">
        <v>3</v>
      </c>
      <c r="B29" s="60" t="s">
        <v>287</v>
      </c>
      <c r="C29" s="109"/>
      <c r="D29" s="109"/>
      <c r="E29" s="109"/>
      <c r="F29" s="109"/>
      <c r="G29" s="109"/>
    </row>
    <row r="30" spans="1:7">
      <c r="A30" s="83">
        <v>4</v>
      </c>
      <c r="B30" s="60" t="s">
        <v>237</v>
      </c>
      <c r="C30" s="109"/>
      <c r="D30" s="109">
        <f>+'47-CK NSNN'!D32</f>
        <v>401493</v>
      </c>
      <c r="E30" s="109"/>
      <c r="F30" s="109"/>
      <c r="G30" s="109"/>
    </row>
    <row r="31" spans="1:7">
      <c r="A31" s="57" t="s">
        <v>70</v>
      </c>
      <c r="B31" s="58" t="s">
        <v>295</v>
      </c>
      <c r="C31" s="110" t="e">
        <f>'19-DGCDNS T+H2017'!C32</f>
        <v>#REF!</v>
      </c>
      <c r="D31" s="110">
        <f>+'47-CK NSNN'!D33</f>
        <v>6091420.4053053334</v>
      </c>
      <c r="E31" s="110">
        <f>+'47-CK NSNN'!E33</f>
        <v>5619961</v>
      </c>
      <c r="F31" s="110">
        <f>F24</f>
        <v>5836502</v>
      </c>
      <c r="G31" s="110">
        <v>6153225</v>
      </c>
    </row>
    <row r="32" spans="1:7">
      <c r="A32" s="83">
        <v>1</v>
      </c>
      <c r="B32" s="60" t="s">
        <v>296</v>
      </c>
      <c r="C32" s="109" t="e">
        <f>C31-C36</f>
        <v>#REF!</v>
      </c>
      <c r="D32" s="109">
        <f>D31-D36</f>
        <v>5614793.2293053335</v>
      </c>
      <c r="E32" s="109">
        <f>E31-E36</f>
        <v>5619961</v>
      </c>
      <c r="F32" s="109">
        <f>F31-F36</f>
        <v>5836502</v>
      </c>
      <c r="G32" s="109">
        <f>G31-G36</f>
        <v>6153225</v>
      </c>
    </row>
    <row r="33" spans="1:7">
      <c r="A33" s="83">
        <v>2</v>
      </c>
      <c r="B33" s="60" t="s">
        <v>297</v>
      </c>
      <c r="C33" s="109">
        <f>SUM(C34:C35)</f>
        <v>0</v>
      </c>
      <c r="D33" s="109">
        <f>SUM(D34:D35)</f>
        <v>0</v>
      </c>
      <c r="E33" s="109"/>
      <c r="F33" s="109"/>
      <c r="G33" s="109"/>
    </row>
    <row r="34" spans="1:7">
      <c r="A34" s="83" t="s">
        <v>22</v>
      </c>
      <c r="B34" s="60" t="s">
        <v>291</v>
      </c>
      <c r="C34" s="109"/>
      <c r="D34" s="109"/>
      <c r="E34" s="109"/>
      <c r="F34" s="109"/>
      <c r="G34" s="109"/>
    </row>
    <row r="35" spans="1:7">
      <c r="A35" s="83" t="s">
        <v>22</v>
      </c>
      <c r="B35" s="60" t="s">
        <v>292</v>
      </c>
      <c r="C35" s="109"/>
      <c r="D35" s="109"/>
      <c r="E35" s="109"/>
      <c r="F35" s="109"/>
      <c r="G35" s="109"/>
    </row>
    <row r="36" spans="1:7">
      <c r="A36" s="65">
        <v>3</v>
      </c>
      <c r="B36" s="70" t="s">
        <v>245</v>
      </c>
      <c r="C36" s="112"/>
      <c r="D36" s="112">
        <f>+'47-CK NSNN'!D38</f>
        <v>476627.17599999998</v>
      </c>
      <c r="E36" s="112"/>
      <c r="F36" s="112"/>
      <c r="G36" s="112"/>
    </row>
    <row r="37" spans="1:7" ht="39" customHeight="1">
      <c r="A37" s="722" t="s">
        <v>298</v>
      </c>
      <c r="B37" s="722"/>
      <c r="C37" s="722"/>
      <c r="D37" s="722"/>
      <c r="E37" s="722"/>
      <c r="F37" s="722"/>
      <c r="G37" s="722"/>
    </row>
    <row r="38" spans="1:7">
      <c r="C38" s="105" t="e">
        <f>+C24-C31</f>
        <v>#REF!</v>
      </c>
      <c r="D38" s="105">
        <f>+D24-D31</f>
        <v>415485.59469466656</v>
      </c>
      <c r="E38" s="105">
        <f>+E24-E31</f>
        <v>0</v>
      </c>
      <c r="F38" s="105">
        <f>+F24-F31</f>
        <v>0</v>
      </c>
      <c r="G38" s="105">
        <f>+G24-G31</f>
        <v>100000</v>
      </c>
    </row>
  </sheetData>
  <customSheetViews>
    <customSheetView guid="{9F606621-8853-4836-9A7E-DBA5CF152671}" showPageBreaks="1" state="hidden">
      <selection activeCell="G20" sqref="G20"/>
      <pageMargins left="0.61" right="0.43307086614173229" top="0.74803149606299213" bottom="0.74803149606299213" header="0.31496062992125984" footer="0.31496062992125984"/>
      <pageSetup paperSize="9" scale="95" orientation="portrait" r:id="rId1"/>
    </customSheetView>
    <customSheetView guid="{DB9039ED-C6EA-422D-9A5D-D152D95EDC67}" showPageBreaks="1" printArea="1" topLeftCell="A5">
      <pane xSplit="2" ySplit="2" topLeftCell="C7" activePane="bottomRight" state="frozen"/>
      <selection pane="bottomRight" activeCell="F19" sqref="F19"/>
      <pageMargins left="0.59055118110236227" right="0.43307086614173229" top="0.74803149606299213" bottom="0.74803149606299213" header="0.31496062992125984" footer="0.31496062992125984"/>
      <printOptions horizontalCentered="1"/>
      <pageSetup paperSize="9" scale="88" orientation="portrait" r:id="rId2"/>
    </customSheetView>
  </customSheetViews>
  <mergeCells count="5">
    <mergeCell ref="A1:G1"/>
    <mergeCell ref="A2:G2"/>
    <mergeCell ref="A3:G3"/>
    <mergeCell ref="F4:G4"/>
    <mergeCell ref="A37:G37"/>
  </mergeCells>
  <pageMargins left="0.61" right="0.43307086614173229" top="0.74803149606299213" bottom="0.74803149606299213" header="0.31496062992125984" footer="0.31496062992125984"/>
  <pageSetup paperSize="9" scale="95"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D2B5B4-61E4-40C2-93B2-01FABBDA6E2F}"/>
</file>

<file path=customXml/itemProps2.xml><?xml version="1.0" encoding="utf-8"?>
<ds:datastoreItem xmlns:ds="http://schemas.openxmlformats.org/officeDocument/2006/customXml" ds:itemID="{3C37D3D9-53E3-454C-84A8-4BD69419F6CD}"/>
</file>

<file path=customXml/itemProps3.xml><?xml version="1.0" encoding="utf-8"?>
<ds:datastoreItem xmlns:ds="http://schemas.openxmlformats.org/officeDocument/2006/customXml" ds:itemID="{66295A05-0E2C-4820-927B-B51140C108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143</vt:i4>
      </vt:variant>
    </vt:vector>
  </HeadingPairs>
  <TitlesOfParts>
    <vt:vector size="214" baseType="lpstr">
      <vt:lpstr>01</vt:lpstr>
      <vt:lpstr>02</vt:lpstr>
      <vt:lpstr>03</vt:lpstr>
      <vt:lpstr>04</vt:lpstr>
      <vt:lpstr>05</vt:lpstr>
      <vt:lpstr>06</vt:lpstr>
      <vt:lpstr>07-CDNSDP3nam</vt:lpstr>
      <vt:lpstr>08-ThuNSNN3nam</vt:lpstr>
      <vt:lpstr>09-CDNST 3nam</vt:lpstr>
      <vt:lpstr>10-ChiNST3nam</vt:lpstr>
      <vt:lpstr>11-KHDTvonNS3nam</vt:lpstr>
      <vt:lpstr>12-DGCDNSDP2017</vt:lpstr>
      <vt:lpstr>13-DGThuNSNN2017</vt:lpstr>
      <vt:lpstr>14-DGChiNSDP2017</vt:lpstr>
      <vt:lpstr>46-CK NSNN</vt:lpstr>
      <vt:lpstr>47-CK NSNN</vt:lpstr>
      <vt:lpstr>48-CK NSNN</vt:lpstr>
      <vt:lpstr>49-CK NSNN</vt:lpstr>
      <vt:lpstr>18-Boi chi</vt:lpstr>
      <vt:lpstr>19-DGCDNS T+H2017</vt:lpstr>
      <vt:lpstr>20 -DG thu H 2017</vt:lpstr>
      <vt:lpstr>21-DGthu H 2017</vt:lpstr>
      <vt:lpstr>22 - DG chi T+H2017</vt:lpstr>
      <vt:lpstr>23-DG chi NST theoLV</vt:lpstr>
      <vt:lpstr>24-DG chi tung co quan T</vt:lpstr>
      <vt:lpstr>25-DG chi DT tung co quan T</vt:lpstr>
      <vt:lpstr>26-DG chiTX tungCQ T</vt:lpstr>
      <vt:lpstr>27-DG chi H</vt:lpstr>
      <vt:lpstr>28-DG Quy ngoaiNS</vt:lpstr>
      <vt:lpstr>29-ThuDVSN</vt:lpstr>
      <vt:lpstr>31-DT thuH</vt:lpstr>
      <vt:lpstr>32-DT thu H</vt:lpstr>
      <vt:lpstr>33-Chi NS T+H 2018</vt:lpstr>
      <vt:lpstr>50-CK NSNN</vt:lpstr>
      <vt:lpstr>51- CK NSNN- bo</vt:lpstr>
      <vt:lpstr>36-Chi DT tung CQ 2018</vt:lpstr>
      <vt:lpstr>52-CK NSNN</vt:lpstr>
      <vt:lpstr>53-CK NSNN</vt:lpstr>
      <vt:lpstr>38-DT chi CTMTQG</vt:lpstr>
      <vt:lpstr>55-CK NSNN</vt:lpstr>
      <vt:lpstr>40</vt:lpstr>
      <vt:lpstr>41-Chi tung H 2018</vt:lpstr>
      <vt:lpstr>42 - BS Co MT H</vt:lpstr>
      <vt:lpstr>43-BSMT  VonDT cho H</vt:lpstr>
      <vt:lpstr>44-BSMt von SN cho H</vt:lpstr>
      <vt:lpstr>45 - Quy TC ngoai NS 2018</vt:lpstr>
      <vt:lpstr>46- DA sd von NS 2018</vt:lpstr>
      <vt:lpstr>47-DT thu Dv SN cong</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PB CTMTQG</vt:lpstr>
      <vt:lpstr>Che do</vt:lpstr>
      <vt:lpstr>Kien nghi</vt:lpstr>
      <vt:lpstr>Cac DT BHYT</vt:lpstr>
      <vt:lpstr>TT 3 nam</vt:lpstr>
      <vt:lpstr>Sheet2</vt:lpstr>
      <vt:lpstr>'10-ChiNST3nam'!chuong_phuluc_10</vt:lpstr>
      <vt:lpstr>'10-ChiNST3nam'!chuong_phuluc_10_name</vt:lpstr>
      <vt:lpstr>'11-KHDTvonNS3nam'!chuong_phuluc_11</vt:lpstr>
      <vt:lpstr>'11-KHDTvonNS3nam'!chuong_phuluc_11_name</vt:lpstr>
      <vt:lpstr>'12-DGCDNSDP2017'!chuong_phuluc_12</vt:lpstr>
      <vt:lpstr>'12-DGCDNSDP2017'!chuong_phuluc_12_name</vt:lpstr>
      <vt:lpstr>'13-DGThuNSNN2017'!chuong_phuluc_13</vt:lpstr>
      <vt:lpstr>'13-DGThuNSNN2017'!chuong_phuluc_13_name</vt:lpstr>
      <vt:lpstr>'14-DGChiNSDP2017'!chuong_phuluc_14</vt:lpstr>
      <vt:lpstr>'14-DGChiNSDP2017'!chuong_phuluc_14_name</vt:lpstr>
      <vt:lpstr>'46-CK NSNN'!chuong_phuluc_15_name</vt:lpstr>
      <vt:lpstr>'48-CK NSNN'!chuong_phuluc_16</vt:lpstr>
      <vt:lpstr>'48-CK NSNN'!chuong_phuluc_16_name</vt:lpstr>
      <vt:lpstr>'49-CK NSNN'!chuong_phuluc_17</vt:lpstr>
      <vt:lpstr>'49-CK NSNN'!chuong_phuluc_17_name</vt:lpstr>
      <vt:lpstr>'18-Boi chi'!chuong_phuluc_18</vt:lpstr>
      <vt:lpstr>'18-Boi chi'!chuong_phuluc_18_name</vt:lpstr>
      <vt:lpstr>'19-DGCDNS T+H2017'!chuong_phuluc_19</vt:lpstr>
      <vt:lpstr>'19-DGCDNS T+H2017'!chuong_phuluc_19_name</vt:lpstr>
      <vt:lpstr>'01'!chuong_phuluc_2</vt:lpstr>
      <vt:lpstr>'02'!chuong_phuluc_2_1</vt:lpstr>
      <vt:lpstr>'02'!chuong_phuluc_2_1_name</vt:lpstr>
      <vt:lpstr>'01'!chuong_phuluc_2_name</vt:lpstr>
      <vt:lpstr>'20 -DG thu H 2017'!chuong_phuluc_20</vt:lpstr>
      <vt:lpstr>'20 -DG thu H 2017'!chuong_phuluc_20_name</vt:lpstr>
      <vt:lpstr>'21-DGthu H 2017'!chuong_phuluc_21</vt:lpstr>
      <vt:lpstr>'21-DGthu H 2017'!chuong_phuluc_21_name</vt:lpstr>
      <vt:lpstr>'22 - DG chi T+H2017'!chuong_phuluc_22</vt:lpstr>
      <vt:lpstr>'22 - DG chi T+H2017'!chuong_phuluc_22_name</vt:lpstr>
      <vt:lpstr>'23-DG chi NST theoLV'!chuong_phuluc_23</vt:lpstr>
      <vt:lpstr>'23-DG chi NST theoLV'!chuong_phuluc_23_name</vt:lpstr>
      <vt:lpstr>'24-DG chi tung co quan T'!chuong_phuluc_24</vt:lpstr>
      <vt:lpstr>'24-DG chi tung co quan T'!chuong_phuluc_24_name</vt:lpstr>
      <vt:lpstr>'25-DG chi DT tung co quan T'!chuong_phuluc_25</vt:lpstr>
      <vt:lpstr>'25-DG chi DT tung co quan T'!chuong_phuluc_25_name</vt:lpstr>
      <vt:lpstr>'26-DG chiTX tungCQ T'!chuong_phuluc_26</vt:lpstr>
      <vt:lpstr>'26-DG chiTX tungCQ T'!chuong_phuluc_26_name</vt:lpstr>
      <vt:lpstr>'27-DG chi H'!chuong_phuluc_27</vt:lpstr>
      <vt:lpstr>'27-DG chi H'!chuong_phuluc_27_name</vt:lpstr>
      <vt:lpstr>'28-DG Quy ngoaiNS'!chuong_phuluc_28</vt:lpstr>
      <vt:lpstr>'28-DG Quy ngoaiNS'!chuong_phuluc_28_name</vt:lpstr>
      <vt:lpstr>'29-ThuDVSN'!chuong_phuluc_29</vt:lpstr>
      <vt:lpstr>'29-ThuDVSN'!chuong_phuluc_29_name</vt:lpstr>
      <vt:lpstr>'03'!chuong_phuluc_3</vt:lpstr>
      <vt:lpstr>'03'!chuong_phuluc_3_name</vt:lpstr>
      <vt:lpstr>'47-CK NSNN'!chuong_phuluc_30</vt:lpstr>
      <vt:lpstr>'47-CK NSNN'!chuong_phuluc_30_name</vt:lpstr>
      <vt:lpstr>'31-DT thuH'!chuong_phuluc_31</vt:lpstr>
      <vt:lpstr>'31-DT thuH'!chuong_phuluc_31_name</vt:lpstr>
      <vt:lpstr>'32-DT thu H'!chuong_phuluc_32</vt:lpstr>
      <vt:lpstr>'32-DT thu H'!chuong_phuluc_32_name</vt:lpstr>
      <vt:lpstr>'33-Chi NS T+H 2018'!chuong_phuluc_33</vt:lpstr>
      <vt:lpstr>'33-Chi NS T+H 2018'!chuong_phuluc_33_name</vt:lpstr>
      <vt:lpstr>'50-CK NSNN'!chuong_phuluc_34_name</vt:lpstr>
      <vt:lpstr>'51- CK NSNN- bo'!chuong_phuluc_35</vt:lpstr>
      <vt:lpstr>'51- CK NSNN- bo'!chuong_phuluc_35_name</vt:lpstr>
      <vt:lpstr>'36-Chi DT tung CQ 2018'!chuong_phuluc_36</vt:lpstr>
      <vt:lpstr>'36-Chi DT tung CQ 2018'!chuong_phuluc_36_name</vt:lpstr>
      <vt:lpstr>'53-CK NSNN'!chuong_phuluc_37_name</vt:lpstr>
      <vt:lpstr>'38-DT chi CTMTQG'!chuong_phuluc_38</vt:lpstr>
      <vt:lpstr>'38-DT chi CTMTQG'!chuong_phuluc_38_name</vt:lpstr>
      <vt:lpstr>'55-CK NSNN'!chuong_phuluc_39</vt:lpstr>
      <vt:lpstr>'55-CK NSNN'!chuong_phuluc_39_name</vt:lpstr>
      <vt:lpstr>'04'!chuong_phuluc_4</vt:lpstr>
      <vt:lpstr>'04'!chuong_phuluc_4_name</vt:lpstr>
      <vt:lpstr>'40'!chuong_phuluc_40</vt:lpstr>
      <vt:lpstr>'40'!chuong_phuluc_40_name</vt:lpstr>
      <vt:lpstr>'41-Chi tung H 2018'!chuong_phuluc_41</vt:lpstr>
      <vt:lpstr>'41-Chi tung H 2018'!chuong_phuluc_41_name</vt:lpstr>
      <vt:lpstr>'42 - BS Co MT H'!chuong_phuluc_42</vt:lpstr>
      <vt:lpstr>'42 - BS Co MT H'!chuong_phuluc_42_name</vt:lpstr>
      <vt:lpstr>'43-BSMT  VonDT cho H'!chuong_phuluc_43</vt:lpstr>
      <vt:lpstr>'43-BSMT  VonDT cho H'!chuong_phuluc_43_name</vt:lpstr>
      <vt:lpstr>'44-BSMt von SN cho H'!chuong_phuluc_44</vt:lpstr>
      <vt:lpstr>'44-BSMt von SN cho H'!chuong_phuluc_44_name</vt:lpstr>
      <vt:lpstr>'44-BSMt von SN cho H'!chuong_phuluc_44_name_name</vt:lpstr>
      <vt:lpstr>'45 - Quy TC ngoai NS 2018'!chuong_phuluc_45</vt:lpstr>
      <vt:lpstr>'45 - Quy TC ngoai NS 2018'!chuong_phuluc_45_name</vt:lpstr>
      <vt:lpstr>'46- DA sd von NS 2018'!chuong_phuluc_46</vt:lpstr>
      <vt:lpstr>'46- DA sd von NS 2018'!chuong_phuluc_46_name</vt:lpstr>
      <vt:lpstr>'47-DT thu Dv SN cong'!chuong_phuluc_47</vt:lpstr>
      <vt:lpstr>'47-DT thu Dv SN cong'!chuong_phuluc_47_name</vt:lpstr>
      <vt:lpstr>'47-DT thu Dv SN cong'!chuong_phuluc_47_name_name</vt:lpstr>
      <vt:lpstr>'48'!chuong_phuluc_48</vt:lpstr>
      <vt:lpstr>'48'!chuong_phuluc_48_name</vt:lpstr>
      <vt:lpstr>'49'!chuong_phuluc_49</vt:lpstr>
      <vt:lpstr>'49'!chuong_phuluc_49_name</vt:lpstr>
      <vt:lpstr>'05'!chuong_phuluc_5</vt:lpstr>
      <vt:lpstr>'05'!chuong_phuluc_5_name</vt:lpstr>
      <vt:lpstr>'50'!chuong_phuluc_50</vt:lpstr>
      <vt:lpstr>'50'!chuong_phuluc_50_name</vt:lpstr>
      <vt:lpstr>'51'!chuong_phuluc_51</vt:lpstr>
      <vt:lpstr>'51'!chuong_phuluc_51_name</vt:lpstr>
      <vt:lpstr>'52'!chuong_phuluc_52</vt:lpstr>
      <vt:lpstr>'52'!chuong_phuluc_52_name</vt:lpstr>
      <vt:lpstr>'53'!chuong_phuluc_53</vt:lpstr>
      <vt:lpstr>'53'!chuong_phuluc_53_name</vt:lpstr>
      <vt:lpstr>'54'!chuong_phuluc_54</vt:lpstr>
      <vt:lpstr>'54'!chuong_phuluc_54_name</vt:lpstr>
      <vt:lpstr>'55'!chuong_phuluc_55</vt:lpstr>
      <vt:lpstr>'55'!chuong_phuluc_55_name</vt:lpstr>
      <vt:lpstr>'56'!chuong_phuluc_56</vt:lpstr>
      <vt:lpstr>'56'!chuong_phuluc_56_name</vt:lpstr>
      <vt:lpstr>'57'!chuong_phuluc_57</vt:lpstr>
      <vt:lpstr>'57'!chuong_phuluc_57_name</vt:lpstr>
      <vt:lpstr>'58'!chuong_phuluc_58</vt:lpstr>
      <vt:lpstr>'58'!chuong_phuluc_58_name</vt:lpstr>
      <vt:lpstr>'59'!chuong_phuluc_59_name</vt:lpstr>
      <vt:lpstr>'06'!chuong_phuluc_6</vt:lpstr>
      <vt:lpstr>'06'!chuong_phuluc_6_name</vt:lpstr>
      <vt:lpstr>'60'!chuong_phuluc_60</vt:lpstr>
      <vt:lpstr>'60'!chuong_phuluc_60_name</vt:lpstr>
      <vt:lpstr>'61'!chuong_phuluc_61</vt:lpstr>
      <vt:lpstr>'61'!chuong_phuluc_61_name</vt:lpstr>
      <vt:lpstr>'62'!chuong_phuluc_62_name</vt:lpstr>
      <vt:lpstr>'63'!chuong_phuluc_63</vt:lpstr>
      <vt:lpstr>'63'!chuong_phuluc_63_name</vt:lpstr>
      <vt:lpstr>'64'!chuong_phuluc_64</vt:lpstr>
      <vt:lpstr>'64'!chuong_phuluc_64_name</vt:lpstr>
      <vt:lpstr>'07-CDNSDP3nam'!chuong_phuluc_7</vt:lpstr>
      <vt:lpstr>'07-CDNSDP3nam'!chuong_phuluc_7_name</vt:lpstr>
      <vt:lpstr>'08-ThuNSNN3nam'!chuong_phuluc_8</vt:lpstr>
      <vt:lpstr>'08-ThuNSNN3nam'!chuong_phuluc_8_name</vt:lpstr>
      <vt:lpstr>'09-CDNST 3nam'!chuong_phuluc_9</vt:lpstr>
      <vt:lpstr>'09-CDNST 3nam'!chuong_phuluc_9_name</vt:lpstr>
      <vt:lpstr>'18-Boi chi'!Print_Area</vt:lpstr>
      <vt:lpstr>'23-DG chi NST theoLV'!Print_Area</vt:lpstr>
      <vt:lpstr>'46-CK NSNN'!Print_Area</vt:lpstr>
      <vt:lpstr>'47-CK NSNN'!Print_Area</vt:lpstr>
      <vt:lpstr>'48-CK NSNN'!Print_Area</vt:lpstr>
      <vt:lpstr>'49-CK NSNN'!Print_Area</vt:lpstr>
      <vt:lpstr>'50-CK NSNN'!Print_Area</vt:lpstr>
      <vt:lpstr>'51- CK NSNN- bo'!Print_Area</vt:lpstr>
      <vt:lpstr>'52-CK NSNN'!Print_Area</vt:lpstr>
      <vt:lpstr>'55-CK NSNN'!Print_Area</vt:lpstr>
      <vt:lpstr>'14-DGChiNSDP2017'!Print_Titles</vt:lpstr>
      <vt:lpstr>'18-Boi chi'!Print_Titles</vt:lpstr>
      <vt:lpstr>'22 - DG chi T+H2017'!Print_Titles</vt:lpstr>
      <vt:lpstr>'48-CK NSNN'!Print_Titles</vt:lpstr>
      <vt:lpstr>'49-CK NSNN'!Print_Titles</vt:lpstr>
      <vt:lpstr>'51- CK NSNN- bo'!Print_Titles</vt:lpstr>
      <vt:lpstr>'52-CK NSNN'!Print_Titles</vt:lpstr>
      <vt:lpstr>'53-CK NSNN'!Print_Titles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nguyenthithuhien</cp:lastModifiedBy>
  <cp:lastPrinted>2018-08-06T03:40:23Z</cp:lastPrinted>
  <dcterms:created xsi:type="dcterms:W3CDTF">2017-04-26T02:19:00Z</dcterms:created>
  <dcterms:modified xsi:type="dcterms:W3CDTF">2019-03-22T08:35:14Z</dcterms:modified>
</cp:coreProperties>
</file>