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drawings/drawing1.xml" ContentType="application/vnd.openxmlformats-officedocument.drawing+xml"/>
  <Override PartName="/xl/worksheets/sheet16.xml" ContentType="application/vnd.openxmlformats-officedocument.spreadsheetml.worksheet+xml"/>
  <Override PartName="/xl/worksheets/sheet14.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omments8.xml" ContentType="application/vnd.openxmlformats-officedocument.spreadsheetml.comments+xml"/>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5.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8\Du toan ngan sach duoc HDND tinh QD\"/>
    </mc:Choice>
  </mc:AlternateContent>
  <bookViews>
    <workbookView xWindow="0" yWindow="0" windowWidth="14370" windowHeight="7515" tabRatio="783" firstSheet="6" activeTab="6"/>
  </bookViews>
  <sheets>
    <sheet name="chi 2016 xac định lại" sheetId="13" state="hidden" r:id="rId1"/>
    <sheet name="Vong II" sheetId="12" state="hidden" r:id="rId2"/>
    <sheet name="Chi" sheetId="1" state="hidden" r:id="rId3"/>
    <sheet name="Boi chi NSDP" sheetId="19" state="hidden" r:id="rId4"/>
    <sheet name="Sheet1" sheetId="22" state="hidden" r:id="rId5"/>
    <sheet name="Quang Nam" sheetId="20" state="hidden" r:id="rId6"/>
    <sheet name="Biểu 46" sheetId="24" r:id="rId7"/>
    <sheet name="Biểu 47" sheetId="31" r:id="rId8"/>
    <sheet name="Biểu 48" sheetId="38" r:id="rId9"/>
    <sheet name="Biểu 49" sheetId="25" r:id="rId10"/>
    <sheet name="Biểu 50" sheetId="26" r:id="rId11"/>
    <sheet name="Biểu 52" sheetId="42" r:id="rId12"/>
    <sheet name="Biểu 53" sheetId="41" r:id="rId13"/>
    <sheet name="Biểu 54" sheetId="40" r:id="rId14"/>
    <sheet name="Biểu 55" sheetId="39" r:id="rId15"/>
    <sheet name="Biểu 56" sheetId="29" r:id="rId16"/>
    <sheet name="Bieu 17" sheetId="23" state="hidden" r:id="rId17"/>
    <sheet name="Bieu 37" sheetId="37" state="hidden" r:id="rId18"/>
    <sheet name="Bieu 41" sheetId="28" state="hidden" r:id="rId19"/>
    <sheet name="Bieu 9" sheetId="30" state="hidden" r:id="rId20"/>
    <sheet name="Bieu 10" sheetId="32" state="hidden" r:id="rId21"/>
    <sheet name="10 sua" sheetId="33" state="hidden" r:id="rId22"/>
    <sheet name="DT2018 (goc)" sheetId="27" state="hidden" r:id="rId23"/>
    <sheet name="2018-bao tam" sheetId="35" state="hidden" r:id="rId24"/>
    <sheet name="ngay 27-11" sheetId="36" state="hidden" r:id="rId25"/>
    <sheet name="9 sua" sheetId="34" state="hidden" r:id="rId26"/>
    <sheet name="BTC-Chinh thuc" sheetId="21" state="hidden" r:id="rId27"/>
  </sheets>
  <externalReferences>
    <externalReference r:id="rId28"/>
    <externalReference r:id="rId29"/>
    <externalReference r:id="rId30"/>
  </externalReferences>
  <definedNames>
    <definedName name="___a1" localSheetId="0" hidden="1">{"'Sheet1'!$L$16"}</definedName>
    <definedName name="___CON1" localSheetId="12">#REF!</definedName>
    <definedName name="___CON1">#REF!</definedName>
    <definedName name="___CON2" localSheetId="12">#REF!</definedName>
    <definedName name="___CON2">#REF!</definedName>
    <definedName name="___NET2" localSheetId="12">#REF!</definedName>
    <definedName name="___NET2">#REF!</definedName>
    <definedName name="___PA3" localSheetId="0" hidden="1">{"'Sheet1'!$L$16"}</definedName>
    <definedName name="__a1" hidden="1">{"'Sheet1'!$L$16"}</definedName>
    <definedName name="__boi1" localSheetId="12">#REF!</definedName>
    <definedName name="__boi1">#REF!</definedName>
    <definedName name="__boi2" localSheetId="12">#REF!</definedName>
    <definedName name="__boi2">#REF!</definedName>
    <definedName name="__CON1" localSheetId="12">#REF!</definedName>
    <definedName name="__CON1">#REF!</definedName>
    <definedName name="__CON2" localSheetId="12">#REF!</definedName>
    <definedName name="__CON2">#REF!</definedName>
    <definedName name="__ddn400" localSheetId="12">#REF!</definedName>
    <definedName name="__ddn400">#REF!</definedName>
    <definedName name="__ddn600" localSheetId="12">#REF!</definedName>
    <definedName name="__ddn600">#REF!</definedName>
    <definedName name="__DT12" localSheetId="0" hidden="1">{"'Sheet1'!$L$16"}</definedName>
    <definedName name="__hsm2">1.1289</definedName>
    <definedName name="__hso2" localSheetId="12">#REF!</definedName>
    <definedName name="__hso2">#REF!</definedName>
    <definedName name="__kha1" localSheetId="12">#REF!</definedName>
    <definedName name="__kha1">#REF!</definedName>
    <definedName name="__lap1" localSheetId="12">#REF!</definedName>
    <definedName name="__lap1">#REF!</definedName>
    <definedName name="__lap2" localSheetId="12">#REF!</definedName>
    <definedName name="__lap2">#REF!</definedName>
    <definedName name="__MAC12" localSheetId="12">#REF!</definedName>
    <definedName name="__MAC12">#REF!</definedName>
    <definedName name="__MAC46" localSheetId="12">#REF!</definedName>
    <definedName name="__MAC46">#REF!</definedName>
    <definedName name="__NCL100" localSheetId="12">#REF!</definedName>
    <definedName name="__NCL100">#REF!</definedName>
    <definedName name="__NCL200" localSheetId="12">#REF!</definedName>
    <definedName name="__NCL200">#REF!</definedName>
    <definedName name="__NCL250" localSheetId="12">#REF!</definedName>
    <definedName name="__NCL250">#REF!</definedName>
    <definedName name="__NET2" localSheetId="12">#REF!</definedName>
    <definedName name="__NET2">#REF!</definedName>
    <definedName name="__nin190" localSheetId="12">#REF!</definedName>
    <definedName name="__nin190">#REF!</definedName>
    <definedName name="__PA3" hidden="1">{"'Sheet1'!$L$16"}</definedName>
    <definedName name="__sc1" localSheetId="12">#REF!</definedName>
    <definedName name="__sc1">#REF!</definedName>
    <definedName name="__SC2" localSheetId="12">#REF!</definedName>
    <definedName name="__SC2">#REF!</definedName>
    <definedName name="__sc3" localSheetId="12">#REF!</definedName>
    <definedName name="__sc3">#REF!</definedName>
    <definedName name="__SN3" localSheetId="12">#REF!</definedName>
    <definedName name="__SN3">#REF!</definedName>
    <definedName name="__TK155" localSheetId="12">#REF!</definedName>
    <definedName name="__TK155">#REF!</definedName>
    <definedName name="__TK422" localSheetId="12">#REF!</definedName>
    <definedName name="__TK422">#REF!</definedName>
    <definedName name="__TL1" localSheetId="12">#REF!</definedName>
    <definedName name="__TL1">#REF!</definedName>
    <definedName name="__TL2" localSheetId="12">#REF!</definedName>
    <definedName name="__TL2">#REF!</definedName>
    <definedName name="__TL3" localSheetId="12">#REF!</definedName>
    <definedName name="__TL3">#REF!</definedName>
    <definedName name="__TLA120" localSheetId="12">#REF!</definedName>
    <definedName name="__TLA120">#REF!</definedName>
    <definedName name="__TLA35" localSheetId="12">#REF!</definedName>
    <definedName name="__TLA35">#REF!</definedName>
    <definedName name="__TLA50" localSheetId="12">#REF!</definedName>
    <definedName name="__TLA50">#REF!</definedName>
    <definedName name="__TLA70" localSheetId="12">#REF!</definedName>
    <definedName name="__TLA70">#REF!</definedName>
    <definedName name="__TLA95" localSheetId="12">#REF!</definedName>
    <definedName name="__TLA95">#REF!</definedName>
    <definedName name="__tz593" localSheetId="12">#REF!</definedName>
    <definedName name="__tz593">#REF!</definedName>
    <definedName name="__VL100" localSheetId="12">#REF!</definedName>
    <definedName name="__VL100">#REF!</definedName>
    <definedName name="__VL250" localSheetId="12">#REF!</definedName>
    <definedName name="__VL250">#REF!</definedName>
    <definedName name="_1" localSheetId="3">#REF!</definedName>
    <definedName name="_1000A01">#N/A</definedName>
    <definedName name="_1BA2500" localSheetId="12">#REF!</definedName>
    <definedName name="_1BA2500">#REF!</definedName>
    <definedName name="_1BA3250" localSheetId="12">#REF!</definedName>
    <definedName name="_1BA3250">#REF!</definedName>
    <definedName name="_1BA400P" localSheetId="12">#REF!</definedName>
    <definedName name="_1BA400P">#REF!</definedName>
    <definedName name="_1CAP001" localSheetId="12">#REF!</definedName>
    <definedName name="_1CAP001">#REF!</definedName>
    <definedName name="_1DAU002" localSheetId="12">#REF!</definedName>
    <definedName name="_1DAU002">#REF!</definedName>
    <definedName name="_1DDAY03" localSheetId="12">#REF!</definedName>
    <definedName name="_1DDAY03">#REF!</definedName>
    <definedName name="_1DDTT01" localSheetId="12">#REF!</definedName>
    <definedName name="_1DDTT01">#REF!</definedName>
    <definedName name="_1FCO101" localSheetId="12">#REF!</definedName>
    <definedName name="_1FCO101">#REF!</definedName>
    <definedName name="_1GIA101" localSheetId="12">#REF!</definedName>
    <definedName name="_1GIA101">#REF!</definedName>
    <definedName name="_1LA1001" localSheetId="12">#REF!</definedName>
    <definedName name="_1LA1001">#REF!</definedName>
    <definedName name="_1MCCBO2" localSheetId="12">#REF!</definedName>
    <definedName name="_1MCCBO2">#REF!</definedName>
    <definedName name="_1PKCAP1" localSheetId="12">#REF!</definedName>
    <definedName name="_1PKCAP1">#REF!</definedName>
    <definedName name="_1PKTT01" localSheetId="12">#REF!</definedName>
    <definedName name="_1PKTT01">#REF!</definedName>
    <definedName name="_1TCD101" localSheetId="12">#REF!</definedName>
    <definedName name="_1TCD101">#REF!</definedName>
    <definedName name="_1TCD201" localSheetId="12">#REF!</definedName>
    <definedName name="_1TCD201">#REF!</definedName>
    <definedName name="_1TD2001" localSheetId="12">#REF!</definedName>
    <definedName name="_1TD2001">#REF!</definedName>
    <definedName name="_1TIHT01" localSheetId="12">#REF!</definedName>
    <definedName name="_1TIHT01">#REF!</definedName>
    <definedName name="_1TRU121" localSheetId="12">#REF!</definedName>
    <definedName name="_1TRU121">#REF!</definedName>
    <definedName name="_2" localSheetId="3">#REF!</definedName>
    <definedName name="_2BLA100" localSheetId="12">#REF!</definedName>
    <definedName name="_2BLA100">#REF!</definedName>
    <definedName name="_2DAL201" localSheetId="12">#REF!</definedName>
    <definedName name="_2DAL201">#REF!</definedName>
    <definedName name="_3BLXMD" localSheetId="12">#REF!</definedName>
    <definedName name="_3BLXMD">#REF!</definedName>
    <definedName name="_3TU0609" localSheetId="12">#REF!</definedName>
    <definedName name="_3TU0609">#REF!</definedName>
    <definedName name="_4CNT240" localSheetId="12">#REF!</definedName>
    <definedName name="_4CNT240">#REF!</definedName>
    <definedName name="_4CTL240" localSheetId="12">#REF!</definedName>
    <definedName name="_4CTL240">#REF!</definedName>
    <definedName name="_4FCO100" localSheetId="12">#REF!</definedName>
    <definedName name="_4FCO100">#REF!</definedName>
    <definedName name="_4HDCTT4" localSheetId="12">#REF!</definedName>
    <definedName name="_4HDCTT4">#REF!</definedName>
    <definedName name="_4HNCTT4" localSheetId="12">#REF!</definedName>
    <definedName name="_4HNCTT4">#REF!</definedName>
    <definedName name="_4LBCO01" localSheetId="12">#REF!</definedName>
    <definedName name="_4LBCO01">#REF!</definedName>
    <definedName name="_a1" localSheetId="0" hidden="1">{"'Sheet1'!$L$16"}</definedName>
    <definedName name="_boi1" localSheetId="12">#REF!</definedName>
    <definedName name="_boi1">#REF!</definedName>
    <definedName name="_boi2" localSheetId="12">#REF!</definedName>
    <definedName name="_boi2">#REF!</definedName>
    <definedName name="_C_Lphi_4ab" localSheetId="12">#REF!</definedName>
    <definedName name="_C_Lphi_4ab">#REF!</definedName>
    <definedName name="_CON1" localSheetId="12">#REF!</definedName>
    <definedName name="_CON1">#REF!</definedName>
    <definedName name="_CON2" localSheetId="12">#REF!</definedName>
    <definedName name="_CON2">#REF!</definedName>
    <definedName name="_CPhi_Bhiem" localSheetId="12">#REF!</definedName>
    <definedName name="_CPhi_Bhiem">#REF!</definedName>
    <definedName name="_CPhi_BQLDA" localSheetId="12">#REF!</definedName>
    <definedName name="_CPhi_BQLDA">#REF!</definedName>
    <definedName name="_CPhi_DBaoGT" localSheetId="12">#REF!</definedName>
    <definedName name="_CPhi_DBaoGT">#REF!</definedName>
    <definedName name="_CPhi_Kdinh" localSheetId="12">#REF!</definedName>
    <definedName name="_CPhi_Kdinh">#REF!</definedName>
    <definedName name="_CPhi_Nthu_KThanh" localSheetId="12">#REF!</definedName>
    <definedName name="_CPhi_Nthu_KThanh">#REF!</definedName>
    <definedName name="_CPhi_QToan" localSheetId="12">#REF!</definedName>
    <definedName name="_CPhi_QToan">#REF!</definedName>
    <definedName name="_CPhiTKe_13" localSheetId="12">#REF!</definedName>
    <definedName name="_CPhiTKe_13">#REF!</definedName>
    <definedName name="_ddn400" localSheetId="12">#REF!</definedName>
    <definedName name="_ddn400">#REF!</definedName>
    <definedName name="_ddn600" localSheetId="12">#REF!</definedName>
    <definedName name="_ddn600">#REF!</definedName>
    <definedName name="_Fill" localSheetId="3" hidden="1">#REF!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 localSheetId="12">#REF!</definedName>
    <definedName name="_hso2">#REF!</definedName>
    <definedName name="_Key1" localSheetId="12" hidden="1">#REF!</definedName>
    <definedName name="_Key1" hidden="1">#REF!</definedName>
    <definedName name="_Key2" localSheetId="12" hidden="1">#REF!</definedName>
    <definedName name="_Key2" hidden="1">#REF!</definedName>
    <definedName name="_kha1" localSheetId="12">#REF!</definedName>
    <definedName name="_kha1">#REF!</definedName>
    <definedName name="_lap1" localSheetId="12">#REF!</definedName>
    <definedName name="_lap1">#REF!</definedName>
    <definedName name="_lap2" localSheetId="12">#REF!</definedName>
    <definedName name="_lap2">#REF!</definedName>
    <definedName name="_MAC12" localSheetId="12">#REF!</definedName>
    <definedName name="_MAC12">#REF!</definedName>
    <definedName name="_MAC46" localSheetId="12">#REF!</definedName>
    <definedName name="_MAC46">#REF!</definedName>
    <definedName name="_NCL100" localSheetId="12">#REF!</definedName>
    <definedName name="_NCL100">#REF!</definedName>
    <definedName name="_NCL200" localSheetId="12">#REF!</definedName>
    <definedName name="_NCL200">#REF!</definedName>
    <definedName name="_NCL250" localSheetId="12">#REF!</definedName>
    <definedName name="_NCL250">#REF!</definedName>
    <definedName name="_NET2" localSheetId="12">#REF!</definedName>
    <definedName name="_NET2">#REF!</definedName>
    <definedName name="_nin190" localSheetId="12">#REF!</definedName>
    <definedName name="_nin190">#REF!</definedName>
    <definedName name="_Order1" hidden="1">255</definedName>
    <definedName name="_Order2" hidden="1">255</definedName>
    <definedName name="_PA3" localSheetId="0" hidden="1">{"'Sheet1'!$L$16"}</definedName>
    <definedName name="_sc1" localSheetId="12">#REF!</definedName>
    <definedName name="_sc1">#REF!</definedName>
    <definedName name="_SC2" localSheetId="12">#REF!</definedName>
    <definedName name="_SC2">#REF!</definedName>
    <definedName name="_sc3" localSheetId="12">#REF!</definedName>
    <definedName name="_sc3">#REF!</definedName>
    <definedName name="_SN3" localSheetId="12">#REF!</definedName>
    <definedName name="_SN3">#REF!</definedName>
    <definedName name="_Sort" localSheetId="3" hidden="1">#REF!</definedName>
    <definedName name="_TK155" localSheetId="12">#REF!</definedName>
    <definedName name="_TK155">#REF!</definedName>
    <definedName name="_TK422" localSheetId="12">#REF!</definedName>
    <definedName name="_TK422">#REF!</definedName>
    <definedName name="_TL1" localSheetId="12">#REF!</definedName>
    <definedName name="_TL1">#REF!</definedName>
    <definedName name="_TL2" localSheetId="12">#REF!</definedName>
    <definedName name="_TL2">#REF!</definedName>
    <definedName name="_TL3" localSheetId="12">#REF!</definedName>
    <definedName name="_TL3">#REF!</definedName>
    <definedName name="_TLA120" localSheetId="12">#REF!</definedName>
    <definedName name="_TLA120">#REF!</definedName>
    <definedName name="_TLA35" localSheetId="12">#REF!</definedName>
    <definedName name="_TLA35">#REF!</definedName>
    <definedName name="_TLA50" localSheetId="12">#REF!</definedName>
    <definedName name="_TLA50">#REF!</definedName>
    <definedName name="_TLA70" localSheetId="12">#REF!</definedName>
    <definedName name="_TLA70">#REF!</definedName>
    <definedName name="_TLA95" localSheetId="12">#REF!</definedName>
    <definedName name="_TLA95">#REF!</definedName>
    <definedName name="_tq2" localSheetId="12">#REF!</definedName>
    <definedName name="_tq2">#REF!</definedName>
    <definedName name="_tz593" localSheetId="12">#REF!</definedName>
    <definedName name="_tz593">#REF!</definedName>
    <definedName name="_VL100" localSheetId="12">#REF!</definedName>
    <definedName name="_VL100">#REF!</definedName>
    <definedName name="_VL250" localSheetId="12">#REF!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 localSheetId="12">#REF!</definedName>
    <definedName name="a1.1">#REF!</definedName>
    <definedName name="A120_" localSheetId="12">#REF!</definedName>
    <definedName name="A120_">#REF!</definedName>
    <definedName name="a277Print_Titles" localSheetId="12">#REF!</definedName>
    <definedName name="a277Print_Titles">#REF!</definedName>
    <definedName name="A35_" localSheetId="12">#REF!</definedName>
    <definedName name="A35_">#REF!</definedName>
    <definedName name="A50_" localSheetId="12">#REF!</definedName>
    <definedName name="A50_">#REF!</definedName>
    <definedName name="A70_" localSheetId="12">#REF!</definedName>
    <definedName name="A70_">#REF!</definedName>
    <definedName name="A95_" localSheetId="12">#REF!</definedName>
    <definedName name="A95_">#REF!</definedName>
    <definedName name="aa" localSheetId="3">#REF!</definedName>
    <definedName name="aaaaaaa" localSheetId="12">#REF!</definedName>
    <definedName name="aaaaaaa">#REF!</definedName>
    <definedName name="AB" localSheetId="12">#REF!</definedName>
    <definedName name="AB">#REF!</definedName>
    <definedName name="AC120_" localSheetId="12">#REF!</definedName>
    <definedName name="AC120_">#REF!</definedName>
    <definedName name="AC35_" localSheetId="12">#REF!</definedName>
    <definedName name="AC35_">#REF!</definedName>
    <definedName name="AC50_" localSheetId="12">#REF!</definedName>
    <definedName name="AC50_">#REF!</definedName>
    <definedName name="AC70_" localSheetId="12">#REF!</definedName>
    <definedName name="AC70_">#REF!</definedName>
    <definedName name="AC95_" localSheetId="12">#REF!</definedName>
    <definedName name="AC95_">#REF!</definedName>
    <definedName name="ACCCC" localSheetId="12">#REF!</definedName>
    <definedName name="ACCCC">#REF!</definedName>
    <definedName name="ADAY" localSheetId="3">#REF!</definedName>
    <definedName name="ADP" localSheetId="3">#REF!</definedName>
    <definedName name="ag15F80" localSheetId="12">#REF!</definedName>
    <definedName name="ag15F80">#REF!</definedName>
    <definedName name="AKHAC" localSheetId="3">#REF!</definedName>
    <definedName name="All_Item" localSheetId="12">#REF!</definedName>
    <definedName name="All_Item">#REF!</definedName>
    <definedName name="ALPIN">#N/A</definedName>
    <definedName name="ALPJYOU">#N/A</definedName>
    <definedName name="ALPTOI">#N/A</definedName>
    <definedName name="ALTINH" localSheetId="3">#REF!</definedName>
    <definedName name="ANN" localSheetId="3">#REF!</definedName>
    <definedName name="ANQD" localSheetId="3">#REF!</definedName>
    <definedName name="anscount" hidden="1">3</definedName>
    <definedName name="ATRAM" localSheetId="3">#REF!</definedName>
    <definedName name="ATW" localSheetId="3">#REF!</definedName>
    <definedName name="B_n_tuyÓn_than_Cöa__ng">"tco"</definedName>
    <definedName name="bb" localSheetId="3">{"Thuxm2.xls","Sheet1"}</definedName>
    <definedName name="bb" localSheetId="0">{"Thuxm2.xls","Sheet1"}</definedName>
    <definedName name="bbkt" localSheetId="12">#REF!</definedName>
    <definedName name="bbkt">#REF!</definedName>
    <definedName name="bbtc" localSheetId="12">#REF!</definedName>
    <definedName name="bbtc">#REF!</definedName>
    <definedName name="BCBo" localSheetId="3" hidden="1">{"'Sheet1'!$L$16"}</definedName>
    <definedName name="BCBo" localSheetId="0" hidden="1">{"'Sheet1'!$L$16"}</definedName>
    <definedName name="BDAY" localSheetId="3">#REF!</definedName>
    <definedName name="bé_giao_th_ng" localSheetId="12">#REF!</definedName>
    <definedName name="bé_giao_th_ng">#REF!</definedName>
    <definedName name="bé_x_y_dùng" localSheetId="12">#REF!</definedName>
    <definedName name="bé_x_y_dùng">#REF!</definedName>
    <definedName name="BOQ" localSheetId="3">#REF!</definedName>
    <definedName name="BTRAM" localSheetId="12">#REF!</definedName>
    <definedName name="BTRAM" localSheetId="3">#REF!</definedName>
    <definedName name="BTRAM">#REF!</definedName>
    <definedName name="BVCISUMMARY" localSheetId="3">#REF!</definedName>
    <definedName name="C_" localSheetId="12">#REF!</definedName>
    <definedName name="C_">#REF!</definedName>
    <definedName name="c_n" localSheetId="12">#REF!</definedName>
    <definedName name="c_n">#REF!</definedName>
    <definedName name="Can_doi" localSheetId="3">#REF!</definedName>
    <definedName name="cap" localSheetId="3">#REF!</definedName>
    <definedName name="cap0.7" localSheetId="3">#REF!</definedName>
    <definedName name="Category_All" localSheetId="12">#REF!</definedName>
    <definedName name="Category_All">#REF!</definedName>
    <definedName name="CATIN">#N/A</definedName>
    <definedName name="CATJYOU">#N/A</definedName>
    <definedName name="CATREC">#N/A</definedName>
    <definedName name="CATSYU">#N/A</definedName>
    <definedName name="CCS" localSheetId="12">#REF!</definedName>
    <definedName name="CCS">#REF!</definedName>
    <definedName name="CDAY" localSheetId="3">#REF!</definedName>
    <definedName name="CDD" localSheetId="12">#REF!</definedName>
    <definedName name="CDD">#REF!</definedName>
    <definedName name="cfk" localSheetId="12">#REF!</definedName>
    <definedName name="cfk">#REF!</definedName>
    <definedName name="chi_tiÕt_vËt_liÖu___nh_n_c_ng___m_y_thi_c_ng" localSheetId="12">#REF!</definedName>
    <definedName name="chi_tiÕt_vËt_liÖu___nh_n_c_ng___m_y_thi_c_ng">#REF!</definedName>
    <definedName name="chungloainhapthan" localSheetId="12">#REF!</definedName>
    <definedName name="chungloainhapthan">#REF!</definedName>
    <definedName name="chungloaiXNT" localSheetId="12">#REF!</definedName>
    <definedName name="chungloaiXNT">#REF!</definedName>
    <definedName name="chungloaixuatthan" localSheetId="12">#REF!</definedName>
    <definedName name="chungloaixuatthan">#REF!</definedName>
    <definedName name="CK" localSheetId="12">#REF!</definedName>
    <definedName name="CK">#REF!</definedName>
    <definedName name="CL" localSheetId="3">#REF!</definedName>
    <definedName name="CLVC3">0.1</definedName>
    <definedName name="CLVCTB" localSheetId="12">#REF!</definedName>
    <definedName name="CLVCTB">#REF!</definedName>
    <definedName name="CLVL" localSheetId="12">#REF!</definedName>
    <definedName name="CLVL">#REF!</definedName>
    <definedName name="Co" localSheetId="12">#REF!</definedName>
    <definedName name="Co">#REF!</definedName>
    <definedName name="co." localSheetId="12">#REF!</definedName>
    <definedName name="co.">#REF!</definedName>
    <definedName name="co.." localSheetId="12">#REF!</definedName>
    <definedName name="co..">#REF!</definedName>
    <definedName name="Cöï_ly_vaän_chuyeãn" localSheetId="12">#REF!</definedName>
    <definedName name="Cöï_ly_vaän_chuyeãn">#REF!</definedName>
    <definedName name="CÖÏ_LY_VAÄN_CHUYEÅN" localSheetId="12">#REF!</definedName>
    <definedName name="CÖÏ_LY_VAÄN_CHUYEÅN">#REF!</definedName>
    <definedName name="COMMON" localSheetId="12">#REF!</definedName>
    <definedName name="COMMON">#REF!</definedName>
    <definedName name="CON_EQP_COS" localSheetId="12">#REF!</definedName>
    <definedName name="CON_EQP_COS">#REF!</definedName>
    <definedName name="CON_EQP_COST" localSheetId="12">#REF!</definedName>
    <definedName name="CON_EQP_COST">#REF!</definedName>
    <definedName name="Cong_HM_DTCT" localSheetId="12">#REF!</definedName>
    <definedName name="Cong_HM_DTCT">#REF!</definedName>
    <definedName name="Cong_M_DTCT" localSheetId="12">#REF!</definedName>
    <definedName name="Cong_M_DTCT">#REF!</definedName>
    <definedName name="Cong_NC_DTCT" localSheetId="12">#REF!</definedName>
    <definedName name="Cong_NC_DTCT">#REF!</definedName>
    <definedName name="Cong_VL_DTCT" localSheetId="12">#REF!</definedName>
    <definedName name="Cong_VL_DTCT">#REF!</definedName>
    <definedName name="CongVattu" localSheetId="3">#REF!</definedName>
    <definedName name="CONST_EQ" localSheetId="12">#REF!</definedName>
    <definedName name="CONST_EQ">#REF!</definedName>
    <definedName name="COVER" localSheetId="3">#REF!</definedName>
    <definedName name="CPC" localSheetId="12">#REF!</definedName>
    <definedName name="CPC">#REF!</definedName>
    <definedName name="CPVC100" localSheetId="12">#REF!</definedName>
    <definedName name="CPVC100">#REF!</definedName>
    <definedName name="CRD" localSheetId="12">#REF!</definedName>
    <definedName name="CRD">#REF!</definedName>
    <definedName name="CRITINST" localSheetId="3">#REF!</definedName>
    <definedName name="CRITPURC" localSheetId="3">#REF!</definedName>
    <definedName name="CRS" localSheetId="12">#REF!</definedName>
    <definedName name="CRS">#REF!</definedName>
    <definedName name="CS" localSheetId="12">#REF!</definedName>
    <definedName name="CS">#REF!</definedName>
    <definedName name="CS_10" localSheetId="3">#REF!</definedName>
    <definedName name="CS_100" localSheetId="3">#REF!</definedName>
    <definedName name="CS_10S" localSheetId="3">#REF!</definedName>
    <definedName name="CS_120" localSheetId="3">#REF!</definedName>
    <definedName name="CS_140" localSheetId="3">#REF!</definedName>
    <definedName name="CS_160" localSheetId="3">#REF!</definedName>
    <definedName name="CS_20" localSheetId="3">#REF!</definedName>
    <definedName name="CS_30" localSheetId="3">#REF!</definedName>
    <definedName name="CS_40" localSheetId="3">#REF!</definedName>
    <definedName name="CS_40S" localSheetId="3">#REF!</definedName>
    <definedName name="CS_5S" localSheetId="3">#REF!</definedName>
    <definedName name="CS_60" localSheetId="3">#REF!</definedName>
    <definedName name="CS_80" localSheetId="3">#REF!</definedName>
    <definedName name="CS_80S" localSheetId="3">#REF!</definedName>
    <definedName name="CS_STD" localSheetId="3">#REF!</definedName>
    <definedName name="CS_XS" localSheetId="3">#REF!</definedName>
    <definedName name="CS_XXS" localSheetId="3">#REF!</definedName>
    <definedName name="csd3p" localSheetId="12">#REF!</definedName>
    <definedName name="csd3p">#REF!</definedName>
    <definedName name="csddg1p" localSheetId="12">#REF!</definedName>
    <definedName name="csddg1p">#REF!</definedName>
    <definedName name="csddt1p" localSheetId="12">#REF!</definedName>
    <definedName name="csddt1p">#REF!</definedName>
    <definedName name="csht3p" localSheetId="12">#REF!</definedName>
    <definedName name="csht3p">#REF!</definedName>
    <definedName name="CT_50" localSheetId="12">#REF!</definedName>
    <definedName name="CT_50">#REF!</definedName>
    <definedName name="CT_MCX" localSheetId="12">#REF!</definedName>
    <definedName name="CT_MCX">#REF!</definedName>
    <definedName name="CTCT1" localSheetId="0" hidden="1">{"'Sheet1'!$L$16"}</definedName>
    <definedName name="ctdn9697" localSheetId="3">#REF!</definedName>
    <definedName name="ctiep" localSheetId="12">#REF!</definedName>
    <definedName name="ctiep">#REF!</definedName>
    <definedName name="CTRAM" localSheetId="3">#REF!</definedName>
    <definedName name="cu" localSheetId="12">#REF!</definedName>
    <definedName name="cu">#REF!</definedName>
    <definedName name="cu_ly" localSheetId="12">#REF!</definedName>
    <definedName name="cu_ly">#REF!</definedName>
    <definedName name="CuLy" localSheetId="12">#REF!</definedName>
    <definedName name="CuLy">#REF!</definedName>
    <definedName name="CuLy_Q" localSheetId="12">#REF!</definedName>
    <definedName name="CuLy_Q">#REF!</definedName>
    <definedName name="cuoc_vc" localSheetId="12">#REF!</definedName>
    <definedName name="cuoc_vc">#REF!</definedName>
    <definedName name="CuocVC" localSheetId="12">#REF!</definedName>
    <definedName name="CuocVC">#REF!</definedName>
    <definedName name="CURRENCY" localSheetId="12">#REF!</definedName>
    <definedName name="CURRENCY">#REF!</definedName>
    <definedName name="CVC_Q" localSheetId="12">#REF!</definedName>
    <definedName name="CVC_Q">#REF!</definedName>
    <definedName name="cx" localSheetId="12">#REF!</definedName>
    <definedName name="cx">#REF!</definedName>
    <definedName name="d_" localSheetId="12">#REF!</definedName>
    <definedName name="d_">#REF!</definedName>
    <definedName name="D_7101A_B" localSheetId="12">#REF!</definedName>
    <definedName name="D_7101A_B">#REF!</definedName>
    <definedName name="D_n" localSheetId="12">#REF!</definedName>
    <definedName name="D_n">#REF!</definedName>
    <definedName name="da" localSheetId="12">#REF!</definedName>
    <definedName name="da">#REF!</definedName>
    <definedName name="dam_24" localSheetId="12">#REF!</definedName>
    <definedName name="dam_24">#REF!</definedName>
    <definedName name="DamNgang" localSheetId="12">#REF!</definedName>
    <definedName name="DamNgang">#REF!</definedName>
    <definedName name="danhmuc" localSheetId="12">#REF!</definedName>
    <definedName name="danhmuc">#REF!</definedName>
    <definedName name="danhmucN" localSheetId="12">#REF!</definedName>
    <definedName name="danhmucN">#REF!</definedName>
    <definedName name="data" localSheetId="12">#REF!</definedName>
    <definedName name="data">#REF!</definedName>
    <definedName name="DATA_DATA2_List" localSheetId="12">#REF!</definedName>
    <definedName name="DATA_DATA2_List">#REF!</definedName>
    <definedName name="data1" localSheetId="12">#REF!</definedName>
    <definedName name="data1">#REF!</definedName>
    <definedName name="Data11" localSheetId="12">#REF!</definedName>
    <definedName name="Data11">#REF!</definedName>
    <definedName name="Data41" localSheetId="12">#REF!</definedName>
    <definedName name="Data41">#REF!</definedName>
    <definedName name="data5" localSheetId="12">#REF!</definedName>
    <definedName name="data5">#REF!</definedName>
    <definedName name="data6" localSheetId="12">#REF!</definedName>
    <definedName name="data6">#REF!</definedName>
    <definedName name="data7" localSheetId="12">#REF!</definedName>
    <definedName name="data7">#REF!</definedName>
    <definedName name="data8" localSheetId="12">#REF!</definedName>
    <definedName name="data8">#REF!</definedName>
    <definedName name="_xlnm.Database" localSheetId="12">#REF!</definedName>
    <definedName name="_xlnm.Database" localSheetId="3">#REF!</definedName>
    <definedName name="_xlnm.Database">#REF!</definedName>
    <definedName name="DATDAO" localSheetId="3">#REF!</definedName>
    <definedName name="DDAY" localSheetId="3">#REF!</definedName>
    <definedName name="ddddddddddd" localSheetId="12">#REF!</definedName>
    <definedName name="ddddddddddd">#REF!</definedName>
    <definedName name="den_bu" localSheetId="12">#REF!</definedName>
    <definedName name="den_bu">#REF!</definedName>
    <definedName name="df" localSheetId="12">#REF!</definedName>
    <definedName name="df">#REF!</definedName>
    <definedName name="dg" localSheetId="12">#REF!</definedName>
    <definedName name="dg">#REF!</definedName>
    <definedName name="dg_5cau" localSheetId="12">#REF!</definedName>
    <definedName name="dg_5cau">#REF!</definedName>
    <definedName name="DG_M_C_X" localSheetId="12">#REF!</definedName>
    <definedName name="DG_M_C_X">#REF!</definedName>
    <definedName name="dgc" localSheetId="12">#REF!</definedName>
    <definedName name="dgc">#REF!</definedName>
    <definedName name="DGCT_T.Quy_P.Thuy_Q" localSheetId="12">#REF!</definedName>
    <definedName name="DGCT_T.Quy_P.Thuy_Q">#REF!</definedName>
    <definedName name="DGCT_TRAUQUYPHUTHUY_HN" localSheetId="12">#REF!</definedName>
    <definedName name="DGCT_TRAUQUYPHUTHUY_HN">#REF!</definedName>
    <definedName name="dgd" localSheetId="12">#REF!</definedName>
    <definedName name="dgd">#REF!</definedName>
    <definedName name="DGIA" localSheetId="12">#REF!</definedName>
    <definedName name="DGIA">#REF!</definedName>
    <definedName name="DGIA2" localSheetId="12">#REF!</definedName>
    <definedName name="DGIA2">#REF!</definedName>
    <definedName name="DGTH" localSheetId="12">#REF!</definedName>
    <definedName name="DGTH">#REF!</definedName>
    <definedName name="dgvl" localSheetId="12">#REF!</definedName>
    <definedName name="dgvl">#REF!</definedName>
    <definedName name="dien" localSheetId="12">#REF!</definedName>
    <definedName name="dien">#REF!</definedName>
    <definedName name="dienluc" localSheetId="0" hidden="1">{#N/A,#N/A,FALSE,"Chi tiÆt"}</definedName>
    <definedName name="DM" localSheetId="3">#REF!</definedName>
    <definedName name="dmld" localSheetId="12">#REF!</definedName>
    <definedName name="dmld">#REF!</definedName>
    <definedName name="DNNN" localSheetId="3">#REF!</definedName>
    <definedName name="doanh_nghiÖp_tØnh" localSheetId="12">#REF!</definedName>
    <definedName name="doanh_nghiÖp_tØnh">#REF!</definedName>
    <definedName name="dobt" localSheetId="3">#REF!</definedName>
    <definedName name="Document_array" localSheetId="0">{"ÿÿÿÿÿ"}</definedName>
    <definedName name="dongia" localSheetId="12">#REF!</definedName>
    <definedName name="dongia">#REF!</definedName>
    <definedName name="dry.." localSheetId="12">#REF!</definedName>
    <definedName name="dry..">#REF!</definedName>
    <definedName name="ds1pnc" localSheetId="12">#REF!</definedName>
    <definedName name="ds1pnc">#REF!</definedName>
    <definedName name="ds1pvl" localSheetId="12">#REF!</definedName>
    <definedName name="ds1pvl">#REF!</definedName>
    <definedName name="ds3pnc" localSheetId="12">#REF!</definedName>
    <definedName name="ds3pnc">#REF!</definedName>
    <definedName name="ds3pvl" localSheetId="12">#REF!</definedName>
    <definedName name="ds3pvl">#REF!</definedName>
    <definedName name="DSTD_Clear" localSheetId="3">'Boi chi NSDP'!DSTD_Clear</definedName>
    <definedName name="DSTD_Clear" localSheetId="0">'chi 2016 xac định lại'!DSTD_Clear</definedName>
    <definedName name="DSUMDATA" localSheetId="3">#REF!</definedName>
    <definedName name="dt10.1" localSheetId="0" hidden="1">{"'Sheet1'!$L$16"}</definedName>
    <definedName name="DT12DienLuc" localSheetId="0">{"ÿÿÿÿÿ"}</definedName>
    <definedName name="DT12Dluc" localSheetId="0" hidden="1">{"'Sheet1'!$L$16"}</definedName>
    <definedName name="DT12HoangThach" localSheetId="0" hidden="1">{"'Sheet1'!$L$16"}</definedName>
    <definedName name="DT8.1" localSheetId="0" hidden="1">{"'Sheet1'!$L$16"}</definedName>
    <definedName name="DT8.2" localSheetId="0" hidden="1">{"'Sheet1'!$L$16"}</definedName>
    <definedName name="dt9.1" localSheetId="0" hidden="1">{#N/A,#N/A,FALSE,"Chi tiÆt"}</definedName>
    <definedName name="dtoan" localSheetId="0" hidden="1">{#N/A,#N/A,FALSE,"Chi tiÆt"}</definedName>
    <definedName name="dtru" localSheetId="12">#REF!</definedName>
    <definedName name="dtru">#REF!</definedName>
    <definedName name="duaån" localSheetId="3">#REF!</definedName>
    <definedName name="duan" localSheetId="3">#REF!</definedName>
    <definedName name="DUCANH" localSheetId="3" hidden="1">{"'Sheet1'!$L$16"}</definedName>
    <definedName name="DUCANH" localSheetId="0" hidden="1">{"'Sheet1'!$L$16"}</definedName>
    <definedName name="dung" localSheetId="12">#REF!</definedName>
    <definedName name="dung">#REF!</definedName>
    <definedName name="dung1" localSheetId="12">#REF!</definedName>
    <definedName name="dung1">#REF!</definedName>
    <definedName name="dungkh" localSheetId="0" hidden="1">{"'Sheet1'!$L$16"}</definedName>
    <definedName name="Ea" localSheetId="12">#REF!</definedName>
    <definedName name="Ea">#REF!</definedName>
    <definedName name="End_1" localSheetId="3">#REF!</definedName>
    <definedName name="End_10" localSheetId="3">#REF!</definedName>
    <definedName name="End_11" localSheetId="3">#REF!</definedName>
    <definedName name="End_12" localSheetId="3">#REF!</definedName>
    <definedName name="End_13" localSheetId="3">#REF!</definedName>
    <definedName name="End_2" localSheetId="3">#REF!</definedName>
    <definedName name="End_3" localSheetId="3">#REF!</definedName>
    <definedName name="End_4" localSheetId="3">#REF!</definedName>
    <definedName name="End_5" localSheetId="3">#REF!</definedName>
    <definedName name="End_6" localSheetId="3">#REF!</definedName>
    <definedName name="End_7" localSheetId="3">#REF!</definedName>
    <definedName name="End_8" localSheetId="3">#REF!</definedName>
    <definedName name="End_9" localSheetId="3">#REF!</definedName>
    <definedName name="EX" localSheetId="12">#REF!</definedName>
    <definedName name="EX">#REF!</definedName>
    <definedName name="EXC" localSheetId="12">#REF!</definedName>
    <definedName name="EXC">#REF!</definedName>
    <definedName name="EXCH" localSheetId="12">#REF!</definedName>
    <definedName name="EXCH">#REF!</definedName>
    <definedName name="_xlnm.Extract" localSheetId="12">#REF!</definedName>
    <definedName name="_xlnm.Extract">#REF!</definedName>
    <definedName name="f82E46" localSheetId="12">#REF!</definedName>
    <definedName name="f82E46">#REF!</definedName>
    <definedName name="f92F56" localSheetId="12">#REF!</definedName>
    <definedName name="f92F56">#REF!</definedName>
    <definedName name="FACTOR" localSheetId="12">#REF!</definedName>
    <definedName name="FACTOR">#REF!</definedName>
    <definedName name="Fax" localSheetId="12">#REF!</definedName>
    <definedName name="Fax">#REF!</definedName>
    <definedName name="Fay" localSheetId="12">#REF!</definedName>
    <definedName name="Fay">#REF!</definedName>
    <definedName name="fc" localSheetId="12">#REF!</definedName>
    <definedName name="fc">#REF!</definedName>
    <definedName name="fc_" localSheetId="12">#REF!</definedName>
    <definedName name="fc_">#REF!</definedName>
    <definedName name="FC5_total" localSheetId="12">#REF!</definedName>
    <definedName name="FC5_total">#REF!</definedName>
    <definedName name="FC6_total" localSheetId="12">#REF!</definedName>
    <definedName name="FC6_total">#REF!</definedName>
    <definedName name="Fdaymong" localSheetId="12">#REF!</definedName>
    <definedName name="Fdaymong">#REF!</definedName>
    <definedName name="Fg" localSheetId="12">#REF!</definedName>
    <definedName name="Fg">#REF!</definedName>
    <definedName name="FS" localSheetId="12">#REF!</definedName>
    <definedName name="FS">#REF!</definedName>
    <definedName name="fy" localSheetId="12">#REF!</definedName>
    <definedName name="fy">#REF!</definedName>
    <definedName name="Fy_" localSheetId="12">#REF!</definedName>
    <definedName name="Fy_">#REF!</definedName>
    <definedName name="g_" localSheetId="12">#REF!</definedName>
    <definedName name="g_">#REF!</definedName>
    <definedName name="gas" localSheetId="12">#REF!</definedName>
    <definedName name="gas">#REF!</definedName>
    <definedName name="gchi" localSheetId="12">#REF!</definedName>
    <definedName name="gchi">#REF!</definedName>
    <definedName name="gd" localSheetId="12">#REF!</definedName>
    <definedName name="gd">#REF!</definedName>
    <definedName name="geff" localSheetId="12">#REF!</definedName>
    <definedName name="geff">#REF!</definedName>
    <definedName name="gia_tien" localSheetId="12">#REF!</definedName>
    <definedName name="gia_tien">#REF!</definedName>
    <definedName name="gia_tien_BTN" localSheetId="12">#REF!</definedName>
    <definedName name="gia_tien_BTN">#REF!</definedName>
    <definedName name="giatrinhap" localSheetId="12">#REF!</definedName>
    <definedName name="giatrinhap">#REF!</definedName>
    <definedName name="GIAVL_TRALY" localSheetId="12">#REF!</definedName>
    <definedName name="GIAVL_TRALY">#REF!</definedName>
    <definedName name="gkGTGT" localSheetId="12">#REF!</definedName>
    <definedName name="gkGTGT">#REF!</definedName>
    <definedName name="gl3p" localSheetId="12">#REF!</definedName>
    <definedName name="gl3p">#REF!</definedName>
    <definedName name="gld" localSheetId="12">#REF!</definedName>
    <definedName name="gld">#REF!</definedName>
    <definedName name="GO.110" localSheetId="12">#REF!</definedName>
    <definedName name="GO.110">#REF!</definedName>
    <definedName name="GO.25" localSheetId="12">#REF!</definedName>
    <definedName name="GO.25">#REF!</definedName>
    <definedName name="GO.39" localSheetId="12">#REF!</definedName>
    <definedName name="GO.39">#REF!</definedName>
    <definedName name="GO.52" localSheetId="12">#REF!</definedName>
    <definedName name="GO.52">#REF!</definedName>
    <definedName name="GO.65" localSheetId="12">#REF!</definedName>
    <definedName name="GO.65">#REF!</definedName>
    <definedName name="GO.81" localSheetId="12">#REF!</definedName>
    <definedName name="GO.81">#REF!</definedName>
    <definedName name="GO.9" localSheetId="12">#REF!</definedName>
    <definedName name="GO.9">#REF!</definedName>
    <definedName name="gs" localSheetId="12">#REF!</definedName>
    <definedName name="gs">#REF!</definedName>
    <definedName name="gse" localSheetId="12">#REF!</definedName>
    <definedName name="gse">#REF!</definedName>
    <definedName name="gtc" localSheetId="12">#REF!</definedName>
    <definedName name="gtc">#REF!</definedName>
    <definedName name="GTRI" localSheetId="12">#REF!</definedName>
    <definedName name="GTRI">#REF!</definedName>
    <definedName name="GTXL" localSheetId="12">#REF!</definedName>
    <definedName name="GTXL">#REF!</definedName>
    <definedName name="GVL_LDT" localSheetId="12">#REF!</definedName>
    <definedName name="GVL_LDT">#REF!</definedName>
    <definedName name="gxm" localSheetId="12">#REF!</definedName>
    <definedName name="gxm">#REF!</definedName>
    <definedName name="h" localSheetId="3" hidden="1">{"'Sheet1'!$L$16"}</definedName>
    <definedName name="h" localSheetId="0" hidden="1">{"'Sheet1'!$L$16"}</definedName>
    <definedName name="h_" localSheetId="12">#REF!</definedName>
    <definedName name="h_">#REF!</definedName>
    <definedName name="h__" localSheetId="12">#REF!</definedName>
    <definedName name="h__">#REF!</definedName>
    <definedName name="h_0" localSheetId="12">#REF!</definedName>
    <definedName name="h_0">#REF!</definedName>
    <definedName name="H_1" localSheetId="12">#REF!</definedName>
    <definedName name="H_1">#REF!</definedName>
    <definedName name="H_2" localSheetId="12">#REF!</definedName>
    <definedName name="H_2">#REF!</definedName>
    <definedName name="H_3" localSheetId="12">#REF!</definedName>
    <definedName name="H_3">#REF!</definedName>
    <definedName name="HAGIANG" localSheetId="12">#REF!</definedName>
    <definedName name="HAGIANG">#REF!</definedName>
    <definedName name="HANG" localSheetId="3" hidden="1">{#N/A,#N/A,FALSE,"Chi tiÆt"}</definedName>
    <definedName name="HANG" localSheetId="0" hidden="1">{#N/A,#N/A,FALSE,"Chi tiÆt"}</definedName>
    <definedName name="HapCKVA" localSheetId="12">#REF!</definedName>
    <definedName name="HapCKVA">#REF!</definedName>
    <definedName name="HapCKvar" localSheetId="12">#REF!</definedName>
    <definedName name="HapCKvar">#REF!</definedName>
    <definedName name="HapCKW" localSheetId="12">#REF!</definedName>
    <definedName name="HapCKW">#REF!</definedName>
    <definedName name="HapIKVA" localSheetId="12">#REF!</definedName>
    <definedName name="HapIKVA">#REF!</definedName>
    <definedName name="HapIKvar" localSheetId="12">#REF!</definedName>
    <definedName name="HapIKvar">#REF!</definedName>
    <definedName name="HapIKW" localSheetId="12">#REF!</definedName>
    <definedName name="HapIKW">#REF!</definedName>
    <definedName name="HapKVA" localSheetId="12">#REF!</definedName>
    <definedName name="HapKVA">#REF!</definedName>
    <definedName name="HapSKVA" localSheetId="12">#REF!</definedName>
    <definedName name="HapSKVA">#REF!</definedName>
    <definedName name="HapSKW" localSheetId="12">#REF!</definedName>
    <definedName name="HapSKW">#REF!</definedName>
    <definedName name="HCM" localSheetId="12">#REF!</definedName>
    <definedName name="HCM">#REF!</definedName>
    <definedName name="Heä_soá_laép_xaø_H">1.7</definedName>
    <definedName name="heä_soá_sình_laày" localSheetId="12">#REF!</definedName>
    <definedName name="heä_soá_sình_laày">#REF!</definedName>
    <definedName name="Hg" localSheetId="12">#REF!</definedName>
    <definedName name="Hg">#REF!</definedName>
    <definedName name="HHUHOI" localSheetId="3">'Boi chi NSDP'!HHUHOI</definedName>
    <definedName name="HHUHOI" localSheetId="0">'chi 2016 xac định lại'!HHUHOI</definedName>
    <definedName name="hien" localSheetId="12">#REF!</definedName>
    <definedName name="hien">#REF!</definedName>
    <definedName name="HIHIHIHOI" localSheetId="3" hidden="1">{"'Sheet1'!$L$16"}</definedName>
    <definedName name="HIHIHIHOI" localSheetId="0" hidden="1">{"'Sheet1'!$L$16"}</definedName>
    <definedName name="HJKL" localSheetId="3" hidden="1">{"'Sheet1'!$L$16"}</definedName>
    <definedName name="HJKL" localSheetId="0" hidden="1">{"'Sheet1'!$L$16"}</definedName>
    <definedName name="Ho" localSheetId="12">#REF!</definedName>
    <definedName name="Ho">#REF!</definedName>
    <definedName name="HOME_MANP" localSheetId="12">#REF!</definedName>
    <definedName name="HOME_MANP">#REF!</definedName>
    <definedName name="HOMEOFFICE_COST" localSheetId="12">#REF!</definedName>
    <definedName name="HOMEOFFICE_COST">#REF!</definedName>
    <definedName name="HSCT3">0.1</definedName>
    <definedName name="hsdc1" localSheetId="12">#REF!</definedName>
    <definedName name="hsdc1">#REF!</definedName>
    <definedName name="HSDN">2.5</definedName>
    <definedName name="HSGG" localSheetId="12">#REF!</definedName>
    <definedName name="HSGG">#REF!</definedName>
    <definedName name="HSHH" localSheetId="12">#REF!</definedName>
    <definedName name="HSHH">#REF!</definedName>
    <definedName name="HSHHUT" localSheetId="12">#REF!</definedName>
    <definedName name="HSHHUT">#REF!</definedName>
    <definedName name="hsm">1.1289</definedName>
    <definedName name="hsnc_cau2">1.626</definedName>
    <definedName name="hsnc_d">1.6356</definedName>
    <definedName name="hsnc_d2">1.6356</definedName>
    <definedName name="hso" localSheetId="12">#REF!</definedName>
    <definedName name="hso">#REF!</definedName>
    <definedName name="HSSL" localSheetId="12">#REF!</definedName>
    <definedName name="HSSL">#REF!</definedName>
    <definedName name="HSVC1" localSheetId="12">#REF!</definedName>
    <definedName name="HSVC1">#REF!</definedName>
    <definedName name="HSVC2" localSheetId="12">#REF!</definedName>
    <definedName name="HSVC2">#REF!</definedName>
    <definedName name="HSVC3" localSheetId="12">#REF!</definedName>
    <definedName name="HSVC3">#REF!</definedName>
    <definedName name="hsvl">1</definedName>
    <definedName name="HT" localSheetId="3">#REF!</definedName>
    <definedName name="HTML_CodePage" hidden="1">950</definedName>
    <definedName name="HTML_Control" localSheetId="3" hidden="1">{"'Sheet1'!$L$16"}</definedName>
    <definedName name="HTML_Control" localSheetId="0"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12">#REF!</definedName>
    <definedName name="HTNC">#REF!</definedName>
    <definedName name="HTVL" localSheetId="12">#REF!</definedName>
    <definedName name="HTVL">#REF!</definedName>
    <definedName name="huy" localSheetId="3">#REF!</definedName>
    <definedName name="I" localSheetId="12">#REF!</definedName>
    <definedName name="I">#REF!</definedName>
    <definedName name="I_A" localSheetId="12">#REF!</definedName>
    <definedName name="I_A">#REF!</definedName>
    <definedName name="I_B" localSheetId="12">#REF!</definedName>
    <definedName name="I_B">#REF!</definedName>
    <definedName name="I_c" localSheetId="12">#REF!</definedName>
    <definedName name="I_c">#REF!</definedName>
    <definedName name="IDLAB_COST" localSheetId="12">#REF!</definedName>
    <definedName name="IDLAB_COST">#REF!</definedName>
    <definedName name="II_A" localSheetId="12">#REF!</definedName>
    <definedName name="II_A">#REF!</definedName>
    <definedName name="II_B" localSheetId="12">#REF!</definedName>
    <definedName name="II_B">#REF!</definedName>
    <definedName name="II_c" localSheetId="12">#REF!</definedName>
    <definedName name="II_c">#REF!</definedName>
    <definedName name="III_a" localSheetId="12">#REF!</definedName>
    <definedName name="III_a">#REF!</definedName>
    <definedName name="III_B" localSheetId="12">#REF!</definedName>
    <definedName name="III_B">#REF!</definedName>
    <definedName name="III_c" localSheetId="12">#REF!</definedName>
    <definedName name="III_c">#REF!</definedName>
    <definedName name="IND_LAB" localSheetId="12">#REF!</definedName>
    <definedName name="IND_LAB">#REF!</definedName>
    <definedName name="INDMANP" localSheetId="12">#REF!</definedName>
    <definedName name="INDMANP">#REF!</definedName>
    <definedName name="iÖn_lùc_Qu_ng_ninh" localSheetId="12">#REF!</definedName>
    <definedName name="iÖn_lùc_Qu_ng_ninh">#REF!</definedName>
    <definedName name="J" localSheetId="12">#REF!</definedName>
    <definedName name="J">#REF!</definedName>
    <definedName name="j356C8" localSheetId="12">#REF!</definedName>
    <definedName name="j356C8">#REF!</definedName>
    <definedName name="K" localSheetId="3">#REF!</definedName>
    <definedName name="kcong" localSheetId="12">#REF!</definedName>
    <definedName name="kcong">#REF!</definedName>
    <definedName name="kdien" localSheetId="12">#REF!</definedName>
    <definedName name="kdien">#REF!</definedName>
    <definedName name="kh" localSheetId="12">#REF!</definedName>
    <definedName name="kh">#REF!</definedName>
    <definedName name="kha" localSheetId="12">#REF!</definedName>
    <definedName name="kha">#REF!</definedName>
    <definedName name="Khac" localSheetId="3">#REF!</definedName>
    <definedName name="Khong_can_doi" localSheetId="3">#REF!</definedName>
    <definedName name="kiem" localSheetId="12">#REF!</definedName>
    <definedName name="kiem">#REF!</definedName>
    <definedName name="Kiem_tra_trung_ten" localSheetId="12">#REF!</definedName>
    <definedName name="Kiem_tra_trung_ten">#REF!</definedName>
    <definedName name="kkkkkkkkkkkk" localSheetId="12">#REF!</definedName>
    <definedName name="kkkkkkkkkkkk">#REF!</definedName>
    <definedName name="kkkkkkkkkkkkkkk" localSheetId="12">#REF!</definedName>
    <definedName name="kkkkkkkkkkkkkkk">#REF!</definedName>
    <definedName name="kp1ph" localSheetId="12">#REF!</definedName>
    <definedName name="kp1ph">#REF!</definedName>
    <definedName name="KQ_Truong" localSheetId="3">#REF!</definedName>
    <definedName name="Ks" localSheetId="12">#REF!</definedName>
    <definedName name="Ks">#REF!</definedName>
    <definedName name="KVC" localSheetId="3">#REF!</definedName>
    <definedName name="L" localSheetId="3">#REF!</definedName>
    <definedName name="l_1" localSheetId="12">#REF!</definedName>
    <definedName name="l_1">#REF!</definedName>
    <definedName name="Laivay" localSheetId="12">#REF!</definedName>
    <definedName name="Laivay">#REF!</definedName>
    <definedName name="lan" localSheetId="0" hidden="1">{"'Sheet1'!$L$16"}</definedName>
    <definedName name="Lb" localSheetId="12">#REF!</definedName>
    <definedName name="Lb">#REF!</definedName>
    <definedName name="LC5_total" localSheetId="12">#REF!</definedName>
    <definedName name="LC5_total">#REF!</definedName>
    <definedName name="LC6_total" localSheetId="12">#REF!</definedName>
    <definedName name="LC6_total">#REF!</definedName>
    <definedName name="llllllllll" localSheetId="12">#REF!</definedName>
    <definedName name="llllllllll">#REF!</definedName>
    <definedName name="Lmk" localSheetId="12">#REF!</definedName>
    <definedName name="Lmk">#REF!</definedName>
    <definedName name="LN" localSheetId="12">#REF!</definedName>
    <definedName name="LN">#REF!</definedName>
    <definedName name="LOAI_DUONG" localSheetId="12">#REF!</definedName>
    <definedName name="LOAI_DUONG">#REF!</definedName>
    <definedName name="ltre" localSheetId="12">#REF!</definedName>
    <definedName name="ltre">#REF!</definedName>
    <definedName name="lv.." localSheetId="12">#REF!</definedName>
    <definedName name="lv..">#REF!</definedName>
    <definedName name="lVC" localSheetId="3">#REF!</definedName>
    <definedName name="lvr.." localSheetId="12">#REF!</definedName>
    <definedName name="lvr..">#REF!</definedName>
    <definedName name="M12ba3p" localSheetId="12">#REF!</definedName>
    <definedName name="M12ba3p">#REF!</definedName>
    <definedName name="M12bb1p" localSheetId="12">#REF!</definedName>
    <definedName name="M12bb1p">#REF!</definedName>
    <definedName name="M12cbnc" localSheetId="12">#REF!</definedName>
    <definedName name="M12cbnc">#REF!</definedName>
    <definedName name="M12cbvl" localSheetId="12">#REF!</definedName>
    <definedName name="M12cbvl">#REF!</definedName>
    <definedName name="M14bb1p" localSheetId="12">#REF!</definedName>
    <definedName name="M14bb1p">#REF!</definedName>
    <definedName name="m8aanc" localSheetId="12">#REF!</definedName>
    <definedName name="m8aanc">#REF!</definedName>
    <definedName name="m8aavl" localSheetId="12">#REF!</definedName>
    <definedName name="m8aavl">#REF!</definedName>
    <definedName name="Ma3pnc" localSheetId="12">#REF!</definedName>
    <definedName name="Ma3pnc">#REF!</definedName>
    <definedName name="Ma3pvl" localSheetId="12">#REF!</definedName>
    <definedName name="Ma3pvl">#REF!</definedName>
    <definedName name="Maa3pnc" localSheetId="12">#REF!</definedName>
    <definedName name="Maa3pnc">#REF!</definedName>
    <definedName name="Maa3pvl" localSheetId="12">#REF!</definedName>
    <definedName name="Maa3pvl">#REF!</definedName>
    <definedName name="mahang" localSheetId="12">#REF!</definedName>
    <definedName name="mahang">#REF!</definedName>
    <definedName name="MaHaRangNam" localSheetId="12">#REF!</definedName>
    <definedName name="MaHaRangNam">#REF!</definedName>
    <definedName name="MaHaRangTuan" localSheetId="12">#REF!</definedName>
    <definedName name="MaHaRangTuan">#REF!</definedName>
    <definedName name="MAJ_CON_EQP" localSheetId="12">#REF!</definedName>
    <definedName name="MAJ_CON_EQP">#REF!</definedName>
    <definedName name="MaMay_Q" localSheetId="12">#REF!</definedName>
    <definedName name="MaMay_Q">#REF!</definedName>
    <definedName name="mangay" localSheetId="12">#REF!</definedName>
    <definedName name="mangay">#REF!</definedName>
    <definedName name="mathang" localSheetId="12">#REF!</definedName>
    <definedName name="mathang">#REF!</definedName>
    <definedName name="MaThanhToanNB" localSheetId="12">#REF!</definedName>
    <definedName name="MaThanhToanNB">#REF!</definedName>
    <definedName name="MaTuan" localSheetId="12">#REF!</definedName>
    <definedName name="MaTuan">#REF!</definedName>
    <definedName name="Mba1p" localSheetId="12">#REF!</definedName>
    <definedName name="Mba1p">#REF!</definedName>
    <definedName name="Mba3p" localSheetId="12">#REF!</definedName>
    <definedName name="Mba3p">#REF!</definedName>
    <definedName name="Mbb3p" localSheetId="12">#REF!</definedName>
    <definedName name="Mbb3p">#REF!</definedName>
    <definedName name="Mbn1p" localSheetId="12">#REF!</definedName>
    <definedName name="Mbn1p">#REF!</definedName>
    <definedName name="mc" localSheetId="12">#REF!</definedName>
    <definedName name="mc">#REF!</definedName>
    <definedName name="me" localSheetId="12">#REF!</definedName>
    <definedName name="me">#REF!</definedName>
    <definedName name="MG_A" localSheetId="3">#REF!</definedName>
    <definedName name="Mn" localSheetId="12">#REF!</definedName>
    <definedName name="Mn">#REF!</definedName>
    <definedName name="MTMAC12" localSheetId="12">#REF!</definedName>
    <definedName name="MTMAC12">#REF!</definedName>
    <definedName name="mtram" localSheetId="12">#REF!</definedName>
    <definedName name="mtram">#REF!</definedName>
    <definedName name="Mu" localSheetId="12">#REF!</definedName>
    <definedName name="Mu">#REF!</definedName>
    <definedName name="Mu_" localSheetId="12">#REF!</definedName>
    <definedName name="Mu_">#REF!</definedName>
    <definedName name="n" localSheetId="12">#REF!</definedName>
    <definedName name="n">#REF!</definedName>
    <definedName name="n1pig" localSheetId="12">#REF!</definedName>
    <definedName name="n1pig">#REF!</definedName>
    <definedName name="n1pind" localSheetId="12">#REF!</definedName>
    <definedName name="n1pind">#REF!</definedName>
    <definedName name="n1ping" localSheetId="12">#REF!</definedName>
    <definedName name="n1ping">#REF!</definedName>
    <definedName name="n1pint" localSheetId="12">#REF!</definedName>
    <definedName name="n1pint">#REF!</definedName>
    <definedName name="nc1p" localSheetId="12">#REF!</definedName>
    <definedName name="nc1p">#REF!</definedName>
    <definedName name="nc3p" localSheetId="12">#REF!</definedName>
    <definedName name="nc3p">#REF!</definedName>
    <definedName name="NCBD100" localSheetId="12">#REF!</definedName>
    <definedName name="NCBD100">#REF!</definedName>
    <definedName name="NCBD200" localSheetId="12">#REF!</definedName>
    <definedName name="NCBD200">#REF!</definedName>
    <definedName name="NCBD250" localSheetId="12">#REF!</definedName>
    <definedName name="NCBD250">#REF!</definedName>
    <definedName name="NCcap0.7" localSheetId="3">#REF!</definedName>
    <definedName name="NCcap1" localSheetId="3">#REF!</definedName>
    <definedName name="nctram" localSheetId="12">#REF!</definedName>
    <definedName name="nctram">#REF!</definedName>
    <definedName name="NCVC100" localSheetId="12">#REF!</definedName>
    <definedName name="NCVC100">#REF!</definedName>
    <definedName name="NCVC200" localSheetId="12">#REF!</definedName>
    <definedName name="NCVC200">#REF!</definedName>
    <definedName name="NCVC250" localSheetId="12">#REF!</definedName>
    <definedName name="NCVC250">#REF!</definedName>
    <definedName name="NCVC3P" localSheetId="12">#REF!</definedName>
    <definedName name="NCVC3P">#REF!</definedName>
    <definedName name="NET" localSheetId="12">#REF!</definedName>
    <definedName name="NET">#REF!</definedName>
    <definedName name="NET_1" localSheetId="12">#REF!</definedName>
    <definedName name="NET_1">#REF!</definedName>
    <definedName name="NET_ANA" localSheetId="12">#REF!</definedName>
    <definedName name="NET_ANA">#REF!</definedName>
    <definedName name="NET_ANA_1" localSheetId="12">#REF!</definedName>
    <definedName name="NET_ANA_1">#REF!</definedName>
    <definedName name="NET_ANA_2" localSheetId="12">#REF!</definedName>
    <definedName name="NET_ANA_2">#REF!</definedName>
    <definedName name="Ngay" localSheetId="12">#REF!</definedName>
    <definedName name="Ngay">#REF!</definedName>
    <definedName name="nght" localSheetId="12">#REF!</definedName>
    <definedName name="nght">#REF!</definedName>
    <definedName name="NH" localSheetId="12">#REF!</definedName>
    <definedName name="NH">#REF!</definedName>
    <definedName name="NHAÂN_COÂNG" localSheetId="3">'Boi chi NSDP'!BTRAM</definedName>
    <definedName name="NHAÂN_COÂNG" localSheetId="0">BTRAM</definedName>
    <definedName name="nhapthan" localSheetId="12">#REF!</definedName>
    <definedName name="nhapthan">#REF!</definedName>
    <definedName name="nhn" localSheetId="12">#REF!</definedName>
    <definedName name="nhn">#REF!</definedName>
    <definedName name="NHot" localSheetId="12">#REF!</definedName>
    <definedName name="NHot">#REF!</definedName>
    <definedName name="nig" localSheetId="12">#REF!</definedName>
    <definedName name="nig">#REF!</definedName>
    <definedName name="nig1p" localSheetId="12">#REF!</definedName>
    <definedName name="nig1p">#REF!</definedName>
    <definedName name="nig3p" localSheetId="12">#REF!</definedName>
    <definedName name="nig3p">#REF!</definedName>
    <definedName name="nignc1p" localSheetId="12">#REF!</definedName>
    <definedName name="nignc1p">#REF!</definedName>
    <definedName name="nigvl1p" localSheetId="12">#REF!</definedName>
    <definedName name="nigvl1p">#REF!</definedName>
    <definedName name="nin" localSheetId="12">#REF!</definedName>
    <definedName name="nin">#REF!</definedName>
    <definedName name="nin14nc3p" localSheetId="12">#REF!</definedName>
    <definedName name="nin14nc3p">#REF!</definedName>
    <definedName name="nin14vl3p" localSheetId="12">#REF!</definedName>
    <definedName name="nin14vl3p">#REF!</definedName>
    <definedName name="nin1903p" localSheetId="12">#REF!</definedName>
    <definedName name="nin1903p">#REF!</definedName>
    <definedName name="nin190nc3p" localSheetId="12">#REF!</definedName>
    <definedName name="nin190nc3p">#REF!</definedName>
    <definedName name="nin190vl3p" localSheetId="12">#REF!</definedName>
    <definedName name="nin190vl3p">#REF!</definedName>
    <definedName name="nin2903p" localSheetId="12">#REF!</definedName>
    <definedName name="nin2903p">#REF!</definedName>
    <definedName name="nin290nc3p" localSheetId="12">#REF!</definedName>
    <definedName name="nin290nc3p">#REF!</definedName>
    <definedName name="nin290vl3p" localSheetId="12">#REF!</definedName>
    <definedName name="nin290vl3p">#REF!</definedName>
    <definedName name="nin3p" localSheetId="12">#REF!</definedName>
    <definedName name="nin3p">#REF!</definedName>
    <definedName name="nind" localSheetId="12">#REF!</definedName>
    <definedName name="nind">#REF!</definedName>
    <definedName name="nind1p" localSheetId="12">#REF!</definedName>
    <definedName name="nind1p">#REF!</definedName>
    <definedName name="nind3p" localSheetId="12">#REF!</definedName>
    <definedName name="nind3p">#REF!</definedName>
    <definedName name="nindnc1p" localSheetId="12">#REF!</definedName>
    <definedName name="nindnc1p">#REF!</definedName>
    <definedName name="nindnc3p" localSheetId="12">#REF!</definedName>
    <definedName name="nindnc3p">#REF!</definedName>
    <definedName name="nindvl1p" localSheetId="12">#REF!</definedName>
    <definedName name="nindvl1p">#REF!</definedName>
    <definedName name="nindvl3p" localSheetId="12">#REF!</definedName>
    <definedName name="nindvl3p">#REF!</definedName>
    <definedName name="ning1p" localSheetId="12">#REF!</definedName>
    <definedName name="ning1p">#REF!</definedName>
    <definedName name="ningnc1p" localSheetId="12">#REF!</definedName>
    <definedName name="ningnc1p">#REF!</definedName>
    <definedName name="ningvl1p" localSheetId="12">#REF!</definedName>
    <definedName name="ningvl1p">#REF!</definedName>
    <definedName name="ninnc3p" localSheetId="12">#REF!</definedName>
    <definedName name="ninnc3p">#REF!</definedName>
    <definedName name="nint1p" localSheetId="12">#REF!</definedName>
    <definedName name="nint1p">#REF!</definedName>
    <definedName name="nintnc1p" localSheetId="12">#REF!</definedName>
    <definedName name="nintnc1p">#REF!</definedName>
    <definedName name="nintvl1p" localSheetId="12">#REF!</definedName>
    <definedName name="nintvl1p">#REF!</definedName>
    <definedName name="ninvl3p" localSheetId="12">#REF!</definedName>
    <definedName name="ninvl3p">#REF!</definedName>
    <definedName name="nl" localSheetId="12">#REF!</definedName>
    <definedName name="nl">#REF!</definedName>
    <definedName name="nl1p" localSheetId="12">#REF!</definedName>
    <definedName name="nl1p">#REF!</definedName>
    <definedName name="nl3p" localSheetId="12">#REF!</definedName>
    <definedName name="nl3p">#REF!</definedName>
    <definedName name="nlnc3p" localSheetId="12">#REF!</definedName>
    <definedName name="nlnc3p">#REF!</definedName>
    <definedName name="nlnc3pha" localSheetId="12">#REF!</definedName>
    <definedName name="nlnc3pha">#REF!</definedName>
    <definedName name="NLTK1p" localSheetId="12">#REF!</definedName>
    <definedName name="NLTK1p">#REF!</definedName>
    <definedName name="nlvl3p" localSheetId="12">#REF!</definedName>
    <definedName name="nlvl3p">#REF!</definedName>
    <definedName name="Nms" localSheetId="12">#REF!</definedName>
    <definedName name="Nms">#REF!</definedName>
    <definedName name="nn" localSheetId="12">#REF!</definedName>
    <definedName name="nn">#REF!</definedName>
    <definedName name="nn1p" localSheetId="12">#REF!</definedName>
    <definedName name="nn1p">#REF!</definedName>
    <definedName name="nn3p" localSheetId="12">#REF!</definedName>
    <definedName name="nn3p">#REF!</definedName>
    <definedName name="nnnc3p" localSheetId="12">#REF!</definedName>
    <definedName name="nnnc3p">#REF!</definedName>
    <definedName name="nnvl3p" localSheetId="12">#REF!</definedName>
    <definedName name="nnvl3p">#REF!</definedName>
    <definedName name="No" localSheetId="12">#REF!</definedName>
    <definedName name="No">#REF!</definedName>
    <definedName name="Nq" localSheetId="12">#REF!</definedName>
    <definedName name="Nq">#REF!</definedName>
    <definedName name="NQD" localSheetId="3">#REF!</definedName>
    <definedName name="NQQH" localSheetId="1">#REF!</definedName>
    <definedName name="NSNN" localSheetId="1">#REF!</definedName>
    <definedName name="oxy" localSheetId="12">#REF!</definedName>
    <definedName name="oxy">#REF!</definedName>
    <definedName name="PA" localSheetId="12">#REF!</definedName>
    <definedName name="PA">#REF!</definedName>
    <definedName name="PA3.1" localSheetId="0" hidden="1">{"'Sheet1'!$L$16"}</definedName>
    <definedName name="Pd" localSheetId="12">#REF!</definedName>
    <definedName name="Pd">#REF!</definedName>
    <definedName name="pgia" localSheetId="12">#REF!</definedName>
    <definedName name="pgia">#REF!</definedName>
    <definedName name="Phamcap" localSheetId="12">#REF!</definedName>
    <definedName name="Phamcap">#REF!</definedName>
    <definedName name="Phan_cap" localSheetId="3">#REF!</definedName>
    <definedName name="phi_inertial" localSheetId="12">#REF!</definedName>
    <definedName name="phi_inertial">#REF!</definedName>
    <definedName name="Phi_le_phi" localSheetId="3">#REF!</definedName>
    <definedName name="phu_luc_vua" localSheetId="12">#REF!</definedName>
    <definedName name="phu_luc_vua">#REF!</definedName>
    <definedName name="PileSize" localSheetId="12">#REF!</definedName>
    <definedName name="PileSize">#REF!</definedName>
    <definedName name="PileType" localSheetId="12">#REF!</definedName>
    <definedName name="PileType">#REF!</definedName>
    <definedName name="pm.." localSheetId="12">#REF!</definedName>
    <definedName name="pm..">#REF!</definedName>
    <definedName name="PPPPPPPPPPP" localSheetId="12">#REF!</definedName>
    <definedName name="PPPPPPPPPPP">#REF!</definedName>
    <definedName name="pppppppppppp" localSheetId="12">#REF!</definedName>
    <definedName name="pppppppppppp">#REF!</definedName>
    <definedName name="PRICE" localSheetId="12">#REF!</definedName>
    <definedName name="PRICE">#REF!</definedName>
    <definedName name="PRICE1" localSheetId="12">#REF!</definedName>
    <definedName name="PRICE1">#REF!</definedName>
    <definedName name="print" localSheetId="12">#REF!</definedName>
    <definedName name="print">#REF!</definedName>
    <definedName name="_xlnm.Print_Area" localSheetId="21">'10 sua'!$A$1:$H$24</definedName>
    <definedName name="_xlnm.Print_Area" localSheetId="20">'Bieu 10'!$A$1:$G$24</definedName>
    <definedName name="_xlnm.Print_Area" localSheetId="16">'Bieu 17'!$A$1:$F$74</definedName>
    <definedName name="_xlnm.Print_Area" localSheetId="17">'Bieu 37'!$A$1:$T$94</definedName>
    <definedName name="_xlnm.Print_Area" localSheetId="18">'Bieu 41'!$A$1:$U$29</definedName>
    <definedName name="_xlnm.Print_Area" localSheetId="9">'Biểu 49'!$A$1:$E$78</definedName>
    <definedName name="_xlnm.Print_Area" localSheetId="15">'Biểu 56'!$A$1:$F$27</definedName>
    <definedName name="_xlnm.Print_Area" localSheetId="19">'Bieu 9'!$A$1:$G$31</definedName>
    <definedName name="_xlnm.Print_Area" localSheetId="3">'Boi chi NSDP'!$A$1:$F$48</definedName>
    <definedName name="_xlnm.Print_Area" localSheetId="2">Chi!$A$2:$K$50</definedName>
    <definedName name="_xlnm.Print_Area" localSheetId="0">'chi 2016 xac định lại'!$A$2:$G$48</definedName>
    <definedName name="_xlnm.Print_Area" localSheetId="1">'Vong II'!$A$2:$K$173</definedName>
    <definedName name="_xlnm.Print_Area">#REF!</definedName>
    <definedName name="PRINT_AREA_MI" localSheetId="3">#REF!</definedName>
    <definedName name="PRINT_AREA_MI" localSheetId="1">#REF!</definedName>
    <definedName name="_xlnm.Print_Titles" localSheetId="21">'10 sua'!$4:$8</definedName>
    <definedName name="_xlnm.Print_Titles" localSheetId="23">'2018-bao tam'!$A:$B,'2018-bao tam'!$3:$7</definedName>
    <definedName name="_xlnm.Print_Titles" localSheetId="16">'Bieu 17'!$5:$7</definedName>
    <definedName name="_xlnm.Print_Titles" localSheetId="17">'Bieu 37'!$4:$6</definedName>
    <definedName name="_xlnm.Print_Titles" localSheetId="18">'Bieu 41'!$6:$9</definedName>
    <definedName name="_xlnm.Print_Titles" localSheetId="6">'Biểu 46'!$6:$8</definedName>
    <definedName name="_xlnm.Print_Titles" localSheetId="7">'Biểu 47'!$5:$8</definedName>
    <definedName name="_xlnm.Print_Titles" localSheetId="8">'Biểu 48'!$6:$7</definedName>
    <definedName name="_xlnm.Print_Titles" localSheetId="9">'Biểu 49'!$6:$8</definedName>
    <definedName name="_xlnm.Print_Titles" localSheetId="10">'Biểu 50'!$6:$7</definedName>
    <definedName name="_xlnm.Print_Titles" localSheetId="11">'Biểu 52'!$4:$7</definedName>
    <definedName name="_xlnm.Print_Titles" localSheetId="12">'Biểu 53'!$5:$7</definedName>
    <definedName name="_xlnm.Print_Titles" localSheetId="15">'Biểu 56'!$7:$10</definedName>
    <definedName name="_xlnm.Print_Titles" localSheetId="19">'Bieu 9'!$4:$8</definedName>
    <definedName name="_xlnm.Print_Titles" localSheetId="3">'Boi chi NSDP'!$6:$8</definedName>
    <definedName name="_xlnm.Print_Titles" localSheetId="22">'DT2018 (goc)'!$A:$B,'DT2018 (goc)'!$5:$8</definedName>
    <definedName name="_xlnm.Print_Titles" localSheetId="24">'ngay 27-11'!$A:$B,'ngay 27-11'!$3:$7</definedName>
    <definedName name="_xlnm.Print_Titles" localSheetId="5">'Quang Nam'!$6:$9</definedName>
    <definedName name="_xlnm.Print_Titles" localSheetId="1">'Vong II'!$2:$9</definedName>
    <definedName name="_xlnm.Print_Titles">#N/A</definedName>
    <definedName name="PRINT_TITLES_MI" localSheetId="12">#REF!</definedName>
    <definedName name="PRINT_TITLES_MI">#REF!</definedName>
    <definedName name="PRINTA" localSheetId="12">#REF!</definedName>
    <definedName name="PRINTA">#REF!</definedName>
    <definedName name="PRINTB" localSheetId="12">#REF!</definedName>
    <definedName name="PRINTB">#REF!</definedName>
    <definedName name="PRINTC" localSheetId="12">#REF!</definedName>
    <definedName name="PRINTC">#REF!</definedName>
    <definedName name="prjName" localSheetId="12">#REF!</definedName>
    <definedName name="prjName">#REF!</definedName>
    <definedName name="prjNo" localSheetId="12">#REF!</definedName>
    <definedName name="prjNo">#REF!</definedName>
    <definedName name="PROPOSAL" localSheetId="3">#REF!</definedName>
    <definedName name="pt" localSheetId="12">#REF!</definedName>
    <definedName name="pt">#REF!</definedName>
    <definedName name="PT_Duong" localSheetId="12">#REF!</definedName>
    <definedName name="PT_Duong">#REF!</definedName>
    <definedName name="ptdg" localSheetId="12">#REF!</definedName>
    <definedName name="ptdg">#REF!</definedName>
    <definedName name="PTDG_cau" localSheetId="12">#REF!</definedName>
    <definedName name="PTDG_cau">#REF!</definedName>
    <definedName name="ptdg_cong" localSheetId="12">#REF!</definedName>
    <definedName name="ptdg_cong">#REF!</definedName>
    <definedName name="PTDG_DCV" localSheetId="12">#REF!</definedName>
    <definedName name="PTDG_DCV">#REF!</definedName>
    <definedName name="ptdg_duong" localSheetId="12">#REF!</definedName>
    <definedName name="ptdg_duong">#REF!</definedName>
    <definedName name="Pu" localSheetId="12">#REF!</definedName>
    <definedName name="Pu">#REF!</definedName>
    <definedName name="pw" localSheetId="12">#REF!</definedName>
    <definedName name="pw">#REF!</definedName>
    <definedName name="Qc" localSheetId="12">#REF!</definedName>
    <definedName name="Qc">#REF!</definedName>
    <definedName name="qu" localSheetId="12">#REF!</definedName>
    <definedName name="qu">#REF!</definedName>
    <definedName name="qua" localSheetId="12">#REF!</definedName>
    <definedName name="qua">#REF!</definedName>
    <definedName name="R_mong" localSheetId="12">#REF!</definedName>
    <definedName name="R_mong">#REF!</definedName>
    <definedName name="Ra_" localSheetId="12">#REF!</definedName>
    <definedName name="Ra_">#REF!</definedName>
    <definedName name="ra11p" localSheetId="12">#REF!</definedName>
    <definedName name="ra11p">#REF!</definedName>
    <definedName name="ra13p" localSheetId="12">#REF!</definedName>
    <definedName name="ra13p">#REF!</definedName>
    <definedName name="rain.." localSheetId="12">#REF!</definedName>
    <definedName name="rain..">#REF!</definedName>
    <definedName name="Rc_" localSheetId="12">#REF!</definedName>
    <definedName name="Rc_">#REF!</definedName>
    <definedName name="RECOUT">#N/A</definedName>
    <definedName name="RFP003A" localSheetId="12">#REF!</definedName>
    <definedName name="RFP003A">#REF!</definedName>
    <definedName name="RFP003B" localSheetId="12">#REF!</definedName>
    <definedName name="RFP003B">#REF!</definedName>
    <definedName name="RFP003C" localSheetId="12">#REF!</definedName>
    <definedName name="RFP003C">#REF!</definedName>
    <definedName name="RFP003D" localSheetId="12">#REF!</definedName>
    <definedName name="RFP003D">#REF!</definedName>
    <definedName name="RFP003E" localSheetId="12">#REF!</definedName>
    <definedName name="RFP003E">#REF!</definedName>
    <definedName name="RFP003F" localSheetId="12">#REF!</definedName>
    <definedName name="RFP003F">#REF!</definedName>
    <definedName name="RGHGSD" localSheetId="3" hidden="1">{"'Sheet1'!$L$16"}</definedName>
    <definedName name="RGHGSD" localSheetId="0" hidden="1">{"'Sheet1'!$L$16"}</definedName>
    <definedName name="Rrpo" localSheetId="12">#REF!</definedName>
    <definedName name="Rrpo">#REF!</definedName>
    <definedName name="rrrrrrrrrrrr" localSheetId="12">#REF!</definedName>
    <definedName name="rrrrrrrrrrrr">#REF!</definedName>
    <definedName name="s" localSheetId="12">#REF!</definedName>
    <definedName name="s">#REF!</definedName>
    <definedName name="s." localSheetId="12">#REF!</definedName>
    <definedName name="s.">#REF!</definedName>
    <definedName name="sanluongnhap" localSheetId="12">#REF!</definedName>
    <definedName name="sanluongnhap">#REF!</definedName>
    <definedName name="SCH" localSheetId="12">#REF!</definedName>
    <definedName name="SCH">#REF!</definedName>
    <definedName name="SCT" localSheetId="12">#REF!</definedName>
    <definedName name="SCT">#REF!</definedName>
    <definedName name="SDMONG" localSheetId="12">#REF!</definedName>
    <definedName name="SDMONG">#REF!</definedName>
    <definedName name="së_giao_th_ng" localSheetId="12">#REF!</definedName>
    <definedName name="së_giao_th_ng">#REF!</definedName>
    <definedName name="së_n_ng_nghiÖp_v__pt_n_ng_th_n" localSheetId="12">#REF!</definedName>
    <definedName name="së_n_ng_nghiÖp_v__pt_n_ng_th_n">#REF!</definedName>
    <definedName name="së_thuû_s_n" localSheetId="12">#REF!</definedName>
    <definedName name="së_thuû_s_n">#REF!</definedName>
    <definedName name="së_x_y_dùng" localSheetId="12">#REF!</definedName>
    <definedName name="së_x_y_dùng">#REF!</definedName>
    <definedName name="Sheet1" localSheetId="12">#REF!</definedName>
    <definedName name="Sheet1">#REF!</definedName>
    <definedName name="SIZE" localSheetId="12">#REF!</definedName>
    <definedName name="SIZE">#REF!</definedName>
    <definedName name="SL" localSheetId="12">#REF!</definedName>
    <definedName name="SL">#REF!</definedName>
    <definedName name="SL_CRD" localSheetId="12">#REF!</definedName>
    <definedName name="SL_CRD">#REF!</definedName>
    <definedName name="SL_CRS" localSheetId="12">#REF!</definedName>
    <definedName name="SL_CRS">#REF!</definedName>
    <definedName name="SL_CS" localSheetId="12">#REF!</definedName>
    <definedName name="SL_CS">#REF!</definedName>
    <definedName name="SL_DD" localSheetId="12">#REF!</definedName>
    <definedName name="SL_DD">#REF!</definedName>
    <definedName name="smax" localSheetId="12">#REF!</definedName>
    <definedName name="smax">#REF!</definedName>
    <definedName name="smax1" localSheetId="12">#REF!</definedName>
    <definedName name="smax1">#REF!</definedName>
    <definedName name="sn" localSheetId="12">#REF!</definedName>
    <definedName name="sn">#REF!</definedName>
    <definedName name="soc3p" localSheetId="12">#REF!</definedName>
    <definedName name="soc3p">#REF!</definedName>
    <definedName name="SoilType" localSheetId="12">#REF!</definedName>
    <definedName name="SoilType">#REF!</definedName>
    <definedName name="soluongnhap" localSheetId="12">#REF!</definedName>
    <definedName name="soluongnhap">#REF!</definedName>
    <definedName name="SPEC" localSheetId="3">#REF!</definedName>
    <definedName name="SPECSUMMARY" localSheetId="3">#REF!</definedName>
    <definedName name="ssssssssssssssssssss" localSheetId="12">#REF!</definedName>
    <definedName name="ssssssssssssssssssss">#REF!</definedName>
    <definedName name="ST" localSheetId="12">#REF!</definedName>
    <definedName name="ST">#REF!</definedName>
    <definedName name="Start_1" localSheetId="3">#REF!</definedName>
    <definedName name="Start_10" localSheetId="3">#REF!</definedName>
    <definedName name="Start_11" localSheetId="3">#REF!</definedName>
    <definedName name="Start_12" localSheetId="3">#REF!</definedName>
    <definedName name="Start_13" localSheetId="3">#REF!</definedName>
    <definedName name="Start_2" localSheetId="3">#REF!</definedName>
    <definedName name="Start_3" localSheetId="3">#REF!</definedName>
    <definedName name="Start_4" localSheetId="3">#REF!</definedName>
    <definedName name="Start_5" localSheetId="3">#REF!</definedName>
    <definedName name="Start_6" localSheetId="3">#REF!</definedName>
    <definedName name="Start_7" localSheetId="3">#REF!</definedName>
    <definedName name="Start_8" localSheetId="3">#REF!</definedName>
    <definedName name="Start_9" localSheetId="3">#REF!</definedName>
    <definedName name="sum" localSheetId="12">#REF!,#REF!</definedName>
    <definedName name="sum">#REF!,#REF!</definedName>
    <definedName name="SUMMARY" localSheetId="12">#REF!</definedName>
    <definedName name="SUMMARY">#REF!</definedName>
    <definedName name="t." localSheetId="12">#REF!</definedName>
    <definedName name="t.">#REF!</definedName>
    <definedName name="t.." localSheetId="12">#REF!</definedName>
    <definedName name="t..">#REF!</definedName>
    <definedName name="T.TBA" localSheetId="12">#REF!</definedName>
    <definedName name="T.TBA">#REF!</definedName>
    <definedName name="T0.4" localSheetId="12">#REF!</definedName>
    <definedName name="T0.4">#REF!</definedName>
    <definedName name="t101p" localSheetId="12">#REF!</definedName>
    <definedName name="t101p">#REF!</definedName>
    <definedName name="t103p" localSheetId="12">#REF!</definedName>
    <definedName name="t103p">#REF!</definedName>
    <definedName name="t10nc1p" localSheetId="12">#REF!</definedName>
    <definedName name="t10nc1p">#REF!</definedName>
    <definedName name="t10vl1p" localSheetId="12">#REF!</definedName>
    <definedName name="t10vl1p">#REF!</definedName>
    <definedName name="t121p" localSheetId="12">#REF!</definedName>
    <definedName name="t121p">#REF!</definedName>
    <definedName name="t123p" localSheetId="12">#REF!</definedName>
    <definedName name="t123p">#REF!</definedName>
    <definedName name="t141p" localSheetId="12">#REF!</definedName>
    <definedName name="t141p">#REF!</definedName>
    <definedName name="t143p" localSheetId="12">#REF!</definedName>
    <definedName name="t143p">#REF!</definedName>
    <definedName name="t14nc3p" localSheetId="12">#REF!</definedName>
    <definedName name="t14nc3p">#REF!</definedName>
    <definedName name="t14vl3p" localSheetId="12">#REF!</definedName>
    <definedName name="t14vl3p">#REF!</definedName>
    <definedName name="tadao" localSheetId="12">#REF!</definedName>
    <definedName name="tadao">#REF!</definedName>
    <definedName name="Tæng_Cty_c__khÝ_NL_v__má" localSheetId="12">#REF!</definedName>
    <definedName name="Tæng_Cty_c__khÝ_NL_v__má">#REF!</definedName>
    <definedName name="TaxTV">10%</definedName>
    <definedName name="TaxXL">5%</definedName>
    <definedName name="TBA" localSheetId="3">#REF!</definedName>
    <definedName name="tbtram" localSheetId="12">#REF!</definedName>
    <definedName name="tbtram">#REF!</definedName>
    <definedName name="TC" localSheetId="12">#REF!</definedName>
    <definedName name="TC">#REF!</definedName>
    <definedName name="TC_NHANH1" localSheetId="12">#REF!</definedName>
    <definedName name="TC_NHANH1">#REF!</definedName>
    <definedName name="td1p" localSheetId="12">#REF!</definedName>
    <definedName name="td1p">#REF!</definedName>
    <definedName name="td3p" localSheetId="12">#REF!</definedName>
    <definedName name="td3p">#REF!</definedName>
    <definedName name="tdnc1p" localSheetId="12">#REF!</definedName>
    <definedName name="tdnc1p">#REF!</definedName>
    <definedName name="tdo" localSheetId="12">#REF!</definedName>
    <definedName name="tdo">#REF!</definedName>
    <definedName name="tdtr2cnc" localSheetId="12">#REF!</definedName>
    <definedName name="tdtr2cnc">#REF!</definedName>
    <definedName name="tdtr2cvl" localSheetId="12">#REF!</definedName>
    <definedName name="tdtr2cvl">#REF!</definedName>
    <definedName name="tdvl1p" localSheetId="12">#REF!</definedName>
    <definedName name="tdvl1p">#REF!</definedName>
    <definedName name="ten" localSheetId="12">#REF!</definedName>
    <definedName name="ten">#REF!</definedName>
    <definedName name="test" localSheetId="12">#REF!</definedName>
    <definedName name="test">#REF!</definedName>
    <definedName name="TH.BM" localSheetId="12">#REF!</definedName>
    <definedName name="TH.BM">#REF!</definedName>
    <definedName name="TH.DVKD" localSheetId="12">#REF!</definedName>
    <definedName name="TH.DVKD">#REF!</definedName>
    <definedName name="TH.HB" localSheetId="12">#REF!</definedName>
    <definedName name="TH.HB">#REF!</definedName>
    <definedName name="TH.HR" localSheetId="12">#REF!</definedName>
    <definedName name="TH.HR">#REF!</definedName>
    <definedName name="TH.KT" localSheetId="12">#REF!</definedName>
    <definedName name="TH.KT">#REF!</definedName>
    <definedName name="TH.NK" localSheetId="12">#REF!</definedName>
    <definedName name="TH.NK">#REF!</definedName>
    <definedName name="TH.SL" localSheetId="12">#REF!</definedName>
    <definedName name="TH.SL">#REF!</definedName>
    <definedName name="TH.TBDM" localSheetId="12">#REF!</definedName>
    <definedName name="TH.TBDM">#REF!</definedName>
    <definedName name="TH.TC" localSheetId="12">#REF!</definedName>
    <definedName name="TH.TC">#REF!</definedName>
    <definedName name="thanhtien" localSheetId="3">#REF!</definedName>
    <definedName name="THGO1pnc" localSheetId="12">#REF!</definedName>
    <definedName name="THGO1pnc">#REF!</definedName>
    <definedName name="thht" localSheetId="12">#REF!</definedName>
    <definedName name="thht">#REF!</definedName>
    <definedName name="THI" localSheetId="12">#REF!</definedName>
    <definedName name="THI">#REF!</definedName>
    <definedName name="thinh" localSheetId="12">#REF!</definedName>
    <definedName name="thinh">#REF!</definedName>
    <definedName name="thkp3" localSheetId="12">#REF!</definedName>
    <definedName name="thkp3">#REF!</definedName>
    <definedName name="thtt" localSheetId="12">#REF!</definedName>
    <definedName name="thtt">#REF!</definedName>
    <definedName name="Tien" localSheetId="12">#REF!</definedName>
    <definedName name="Tien">#REF!</definedName>
    <definedName name="TienThanhToan" localSheetId="12">#REF!</definedName>
    <definedName name="TienThanhToan">#REF!</definedName>
    <definedName name="TienThanhToanNB" localSheetId="12">#REF!</definedName>
    <definedName name="TienThanhToanNB">#REF!</definedName>
    <definedName name="Tim_cong" localSheetId="12">#REF!</definedName>
    <definedName name="Tim_cong">#REF!</definedName>
    <definedName name="tim_xuat_hien" localSheetId="12">#REF!</definedName>
    <definedName name="tim_xuat_hien">#REF!</definedName>
    <definedName name="TITAN" localSheetId="12">#REF!</definedName>
    <definedName name="TITAN">#REF!</definedName>
    <definedName name="TLAC120" localSheetId="12">#REF!</definedName>
    <definedName name="TLAC120">#REF!</definedName>
    <definedName name="TLAC35" localSheetId="12">#REF!</definedName>
    <definedName name="TLAC35">#REF!</definedName>
    <definedName name="TLAC50" localSheetId="12">#REF!</definedName>
    <definedName name="TLAC50">#REF!</definedName>
    <definedName name="TLAC70" localSheetId="12">#REF!</definedName>
    <definedName name="TLAC70">#REF!</definedName>
    <definedName name="TLAC95" localSheetId="12">#REF!</definedName>
    <definedName name="TLAC95">#REF!</definedName>
    <definedName name="Tle" localSheetId="12">#REF!</definedName>
    <definedName name="Tle">#REF!</definedName>
    <definedName name="ton" localSheetId="12">#REF!</definedName>
    <definedName name="ton">#REF!</definedName>
    <definedName name="Tong_co" localSheetId="12">#REF!</definedName>
    <definedName name="Tong_co">#REF!</definedName>
    <definedName name="Tong_no" localSheetId="12">#REF!</definedName>
    <definedName name="Tong_no">#REF!</definedName>
    <definedName name="TOTAL" localSheetId="12">#REF!</definedName>
    <definedName name="TOTAL">#REF!</definedName>
    <definedName name="TPLRP" localSheetId="12">#REF!</definedName>
    <definedName name="TPLRP">#REF!</definedName>
    <definedName name="Tra_DM_su_dung" localSheetId="12">#REF!</definedName>
    <definedName name="Tra_DM_su_dung">#REF!</definedName>
    <definedName name="Tra_don_gia_KS" localSheetId="12">#REF!</definedName>
    <definedName name="Tra_don_gia_KS">#REF!</definedName>
    <definedName name="Tra_DTCT" localSheetId="12">#REF!</definedName>
    <definedName name="Tra_DTCT">#REF!</definedName>
    <definedName name="Tra_gtxl_cong" localSheetId="12">#REF!</definedName>
    <definedName name="Tra_gtxl_cong">#REF!</definedName>
    <definedName name="Tra_tim_hang_mucPT_trung" localSheetId="12">#REF!</definedName>
    <definedName name="Tra_tim_hang_mucPT_trung">#REF!</definedName>
    <definedName name="Tra_TL" localSheetId="12">#REF!</definedName>
    <definedName name="Tra_TL">#REF!</definedName>
    <definedName name="Tra_ty_le2" localSheetId="12">#REF!</definedName>
    <definedName name="Tra_ty_le2">#REF!</definedName>
    <definedName name="Tra_ty_le3" localSheetId="12">#REF!</definedName>
    <definedName name="Tra_ty_le3">#REF!</definedName>
    <definedName name="Tra_ty_le4" localSheetId="12">#REF!</definedName>
    <definedName name="Tra_ty_le4">#REF!</definedName>
    <definedName name="Tra_ty_le5" localSheetId="12">#REF!</definedName>
    <definedName name="Tra_ty_le5">#REF!</definedName>
    <definedName name="TRA_VAT_LIEU" localSheetId="12">#REF!</definedName>
    <definedName name="TRA_VAT_LIEU">#REF!</definedName>
    <definedName name="TRA_VL" localSheetId="12">#REF!</definedName>
    <definedName name="TRA_VL">#REF!</definedName>
    <definedName name="TRADE2" localSheetId="12">#REF!</definedName>
    <definedName name="TRADE2">#REF!</definedName>
    <definedName name="TRAvH" localSheetId="12">#REF!</definedName>
    <definedName name="TRAvH">#REF!</definedName>
    <definedName name="TRAVL" localSheetId="12">#REF!</definedName>
    <definedName name="TRAVL">#REF!</definedName>
    <definedName name="trigianhapthan" localSheetId="12">#REF!</definedName>
    <definedName name="trigianhapthan">#REF!</definedName>
    <definedName name="trigiaxuatthan" localSheetId="12">#REF!</definedName>
    <definedName name="trigiaxuatthan">#REF!</definedName>
    <definedName name="TT_1P" localSheetId="12">#REF!</definedName>
    <definedName name="TT_1P">#REF!</definedName>
    <definedName name="TT_3p" localSheetId="12">#REF!</definedName>
    <definedName name="TT_3p">#REF!</definedName>
    <definedName name="ttao" localSheetId="12">#REF!</definedName>
    <definedName name="ttao">#REF!</definedName>
    <definedName name="ttbt" localSheetId="3">#REF!</definedName>
    <definedName name="tthi" localSheetId="12">#REF!</definedName>
    <definedName name="tthi">#REF!</definedName>
    <definedName name="ttinh" localSheetId="12">#REF!</definedName>
    <definedName name="ttinh">#REF!</definedName>
    <definedName name="ttronmk" localSheetId="12">#REF!</definedName>
    <definedName name="ttronmk">#REF!</definedName>
    <definedName name="ttttttttttttttttt" localSheetId="12">#REF!</definedName>
    <definedName name="ttttttttttttttttt">#REF!</definedName>
    <definedName name="tv75nc" localSheetId="12">#REF!</definedName>
    <definedName name="tv75nc">#REF!</definedName>
    <definedName name="tv75vl" localSheetId="12">#REF!</definedName>
    <definedName name="tv75vl">#REF!</definedName>
    <definedName name="TW" localSheetId="3">#REF!</definedName>
    <definedName name="ty_le" localSheetId="12">#REF!</definedName>
    <definedName name="ty_le">#REF!</definedName>
    <definedName name="Ty_Le_1" localSheetId="12">#REF!</definedName>
    <definedName name="Ty_Le_1">#REF!</definedName>
    <definedName name="ty_le_BTN" localSheetId="12">#REF!</definedName>
    <definedName name="ty_le_BTN">#REF!</definedName>
    <definedName name="Ty_le1" localSheetId="12">#REF!</definedName>
    <definedName name="Ty_le1">#REF!</definedName>
    <definedName name="UP" localSheetId="12">#REF!,#REF!,#REF!,#REF!,#REF!,#REF!,#REF!,#REF!,#REF!,#REF!,#REF!</definedName>
    <definedName name="UP">#REF!,#REF!,#REF!,#REF!,#REF!,#REF!,#REF!,#REF!,#REF!,#REF!,#REF!</definedName>
    <definedName name="VAÄT_LIEÄU">"ATRAM"</definedName>
    <definedName name="vanchuyen" localSheetId="3">#REF!</definedName>
    <definedName name="VARIINST" localSheetId="3">#REF!</definedName>
    <definedName name="VARIPURC" localSheetId="3">#REF!</definedName>
    <definedName name="vat_lieu_KVIII" localSheetId="3">#REF!</definedName>
    <definedName name="Vattu" localSheetId="3">#REF!</definedName>
    <definedName name="VC" localSheetId="12">#REF!</definedName>
    <definedName name="VC">#REF!</definedName>
    <definedName name="vccot" localSheetId="3">#REF!</definedName>
    <definedName name="VCHT" localSheetId="12">#REF!</definedName>
    <definedName name="VCHT">#REF!</definedName>
    <definedName name="vctb" localSheetId="3">#REF!</definedName>
    <definedName name="vd3p" localSheetId="12">#REF!</definedName>
    <definedName name="vd3p">#REF!</definedName>
    <definedName name="vl1p" localSheetId="12">#REF!</definedName>
    <definedName name="vl1p">#REF!</definedName>
    <definedName name="vl3p" localSheetId="12">#REF!</definedName>
    <definedName name="vl3p">#REF!</definedName>
    <definedName name="VLBS">#N/A</definedName>
    <definedName name="Vlcap0.7" localSheetId="3">#REF!</definedName>
    <definedName name="VLcap1" localSheetId="3">#REF!</definedName>
    <definedName name="vldn400" localSheetId="12">#REF!</definedName>
    <definedName name="vldn400">#REF!</definedName>
    <definedName name="vldn600" localSheetId="12">#REF!</definedName>
    <definedName name="vldn600">#REF!</definedName>
    <definedName name="VLM" localSheetId="12">#REF!</definedName>
    <definedName name="VLM">#REF!</definedName>
    <definedName name="vltram" localSheetId="12">#REF!</definedName>
    <definedName name="vltram">#REF!</definedName>
    <definedName name="vr3p" localSheetId="12">#REF!</definedName>
    <definedName name="vr3p">#REF!</definedName>
    <definedName name="Vu" localSheetId="12">#REF!</definedName>
    <definedName name="Vu">#REF!</definedName>
    <definedName name="Vu_" localSheetId="12">#REF!</definedName>
    <definedName name="Vu_">#REF!</definedName>
    <definedName name="Vua" localSheetId="3">#REF!</definedName>
    <definedName name="W" localSheetId="3">#REF!</definedName>
    <definedName name="Wdaymong" localSheetId="12">#REF!</definedName>
    <definedName name="Wdaymong">#REF!</definedName>
    <definedName name="wl" localSheetId="12">#REF!</definedName>
    <definedName name="wl">#REF!</definedName>
    <definedName name="wrn.chi._.tiÆt." localSheetId="3" hidden="1">{#N/A,#N/A,FALSE,"Chi tiÆt"}</definedName>
    <definedName name="wrn.chi._.tiÆt." localSheetId="0" hidden="1">{#N/A,#N/A,FALSE,"Chi tiÆt"}</definedName>
    <definedName name="Ws" localSheetId="12">#REF!</definedName>
    <definedName name="Ws">#REF!</definedName>
    <definedName name="Wss" localSheetId="12">#REF!</definedName>
    <definedName name="Wss">#REF!</definedName>
    <definedName name="Wst" localSheetId="12">#REF!</definedName>
    <definedName name="Wst">#REF!</definedName>
    <definedName name="wt" localSheetId="12">#REF!</definedName>
    <definedName name="wt">#REF!</definedName>
    <definedName name="wwwwwwwwwwwwwwwwwwwwư" localSheetId="12">#REF!</definedName>
    <definedName name="wwwwwwwwwwwwwwwwwwwwư">#REF!</definedName>
    <definedName name="X" localSheetId="3">#REF!</definedName>
    <definedName name="x1pind" localSheetId="12">#REF!</definedName>
    <definedName name="x1pind">#REF!</definedName>
    <definedName name="x1ping" localSheetId="12">#REF!</definedName>
    <definedName name="x1ping">#REF!</definedName>
    <definedName name="x1pint" localSheetId="12">#REF!</definedName>
    <definedName name="x1pint">#REF!</definedName>
    <definedName name="XCCT">0.5</definedName>
    <definedName name="xfco" localSheetId="12">#REF!</definedName>
    <definedName name="xfco">#REF!</definedName>
    <definedName name="xfco3p" localSheetId="12">#REF!</definedName>
    <definedName name="xfco3p">#REF!</definedName>
    <definedName name="xfcotnc" localSheetId="12">#REF!</definedName>
    <definedName name="xfcotnc">#REF!</definedName>
    <definedName name="xfcotvl" localSheetId="12">#REF!</definedName>
    <definedName name="xfcotvl">#REF!</definedName>
    <definedName name="xh" localSheetId="12">#REF!</definedName>
    <definedName name="xh">#REF!</definedName>
    <definedName name="xhn" localSheetId="12">#REF!</definedName>
    <definedName name="xhn">#REF!</definedName>
    <definedName name="xig" localSheetId="12">#REF!</definedName>
    <definedName name="xig">#REF!</definedName>
    <definedName name="xig1" localSheetId="12">#REF!</definedName>
    <definedName name="xig1">#REF!</definedName>
    <definedName name="xig1p" localSheetId="12">#REF!</definedName>
    <definedName name="xig1p">#REF!</definedName>
    <definedName name="xig3p" localSheetId="12">#REF!</definedName>
    <definedName name="xig3p">#REF!</definedName>
    <definedName name="xignc3p" localSheetId="12">#REF!</definedName>
    <definedName name="xignc3p">#REF!</definedName>
    <definedName name="xigvl3p" localSheetId="12">#REF!</definedName>
    <definedName name="xigvl3p">#REF!</definedName>
    <definedName name="xin" localSheetId="12">#REF!</definedName>
    <definedName name="xin">#REF!</definedName>
    <definedName name="xin190" localSheetId="12">#REF!</definedName>
    <definedName name="xin190">#REF!</definedName>
    <definedName name="xin1903p" localSheetId="12">#REF!</definedName>
    <definedName name="xin1903p">#REF!</definedName>
    <definedName name="xin2903p" localSheetId="12">#REF!</definedName>
    <definedName name="xin2903p">#REF!</definedName>
    <definedName name="xin290nc3p" localSheetId="12">#REF!</definedName>
    <definedName name="xin290nc3p">#REF!</definedName>
    <definedName name="xin290vl3p" localSheetId="12">#REF!</definedName>
    <definedName name="xin290vl3p">#REF!</definedName>
    <definedName name="xin3p" localSheetId="12">#REF!</definedName>
    <definedName name="xin3p">#REF!</definedName>
    <definedName name="xind" localSheetId="12">#REF!</definedName>
    <definedName name="xind">#REF!</definedName>
    <definedName name="xind1p" localSheetId="12">#REF!</definedName>
    <definedName name="xind1p">#REF!</definedName>
    <definedName name="xind3p" localSheetId="12">#REF!</definedName>
    <definedName name="xind3p">#REF!</definedName>
    <definedName name="xindnc1p" localSheetId="12">#REF!</definedName>
    <definedName name="xindnc1p">#REF!</definedName>
    <definedName name="xindvl1p" localSheetId="12">#REF!</definedName>
    <definedName name="xindvl1p">#REF!</definedName>
    <definedName name="xing1p" localSheetId="12">#REF!</definedName>
    <definedName name="xing1p">#REF!</definedName>
    <definedName name="xingnc1p" localSheetId="12">#REF!</definedName>
    <definedName name="xingnc1p">#REF!</definedName>
    <definedName name="xingvl1p" localSheetId="12">#REF!</definedName>
    <definedName name="xingvl1p">#REF!</definedName>
    <definedName name="xinnc3p" localSheetId="12">#REF!</definedName>
    <definedName name="xinnc3p">#REF!</definedName>
    <definedName name="xint1p" localSheetId="12">#REF!</definedName>
    <definedName name="xint1p">#REF!</definedName>
    <definedName name="xinvl3p" localSheetId="12">#REF!</definedName>
    <definedName name="xinvl3p">#REF!</definedName>
    <definedName name="xit" localSheetId="12">#REF!</definedName>
    <definedName name="xit">#REF!</definedName>
    <definedName name="xit1" localSheetId="12">#REF!</definedName>
    <definedName name="xit1">#REF!</definedName>
    <definedName name="xit1p" localSheetId="12">#REF!</definedName>
    <definedName name="xit1p">#REF!</definedName>
    <definedName name="xit2nc3p" localSheetId="12">#REF!</definedName>
    <definedName name="xit2nc3p">#REF!</definedName>
    <definedName name="xit2vl3p" localSheetId="12">#REF!</definedName>
    <definedName name="xit2vl3p">#REF!</definedName>
    <definedName name="xit3p" localSheetId="12">#REF!</definedName>
    <definedName name="xit3p">#REF!</definedName>
    <definedName name="xitnc3p" localSheetId="12">#REF!</definedName>
    <definedName name="xitnc3p">#REF!</definedName>
    <definedName name="xitvl3p" localSheetId="12">#REF!</definedName>
    <definedName name="xitvl3p">#REF!</definedName>
    <definedName name="xl" localSheetId="12">#REF!</definedName>
    <definedName name="xl">#REF!</definedName>
    <definedName name="xlc" localSheetId="12">#REF!</definedName>
    <definedName name="xlc">#REF!</definedName>
    <definedName name="xlk" localSheetId="12">#REF!</definedName>
    <definedName name="xlk">#REF!</definedName>
    <definedName name="xn" localSheetId="12">#REF!</definedName>
    <definedName name="xn">#REF!</definedName>
    <definedName name="xuatthan" localSheetId="12">#REF!</definedName>
    <definedName name="xuatthan">#REF!</definedName>
    <definedName name="y" localSheetId="12">#REF!</definedName>
    <definedName name="y">#REF!</definedName>
    <definedName name="yyyyyyyyyyyyyyyy" localSheetId="12">#REF!</definedName>
    <definedName name="yyyyyyyyyyyyyyyy">#REF!</definedName>
    <definedName name="z" localSheetId="12">#REF!</definedName>
    <definedName name="z">#REF!</definedName>
    <definedName name="zl" localSheetId="12">#REF!</definedName>
    <definedName name="zl">#REF!</definedName>
    <definedName name="Zw" localSheetId="12">#REF!</definedName>
    <definedName name="Zw">#REF!</definedName>
    <definedName name="ZYX" localSheetId="3">#REF!</definedName>
    <definedName name="ZZZ" localSheetId="3">#REF!</definedName>
  </definedNames>
  <calcPr calcId="152511"/>
</workbook>
</file>

<file path=xl/calcChain.xml><?xml version="1.0" encoding="utf-8"?>
<calcChain xmlns="http://schemas.openxmlformats.org/spreadsheetml/2006/main">
  <c r="C37" i="42" l="1"/>
  <c r="C31" i="42"/>
  <c r="K28" i="42"/>
  <c r="J28" i="42"/>
  <c r="C28" i="42"/>
  <c r="K27" i="42"/>
  <c r="K8" i="42" s="1"/>
  <c r="J27" i="42"/>
  <c r="C27" i="42"/>
  <c r="C26" i="42"/>
  <c r="J25" i="42"/>
  <c r="C25" i="42"/>
  <c r="C24" i="42"/>
  <c r="L23" i="42"/>
  <c r="L8" i="42" s="1"/>
  <c r="J23" i="42"/>
  <c r="C23" i="42"/>
  <c r="M22" i="42"/>
  <c r="M8" i="42" s="1"/>
  <c r="C22" i="42"/>
  <c r="G18" i="42"/>
  <c r="G8" i="42" s="1"/>
  <c r="C18" i="42"/>
  <c r="F16" i="42"/>
  <c r="C14" i="42"/>
  <c r="K13" i="42"/>
  <c r="J13" i="42"/>
  <c r="D13" i="42"/>
  <c r="D8" i="42" s="1"/>
  <c r="C13" i="42"/>
  <c r="C12" i="42"/>
  <c r="C10" i="42"/>
  <c r="C8" i="42" s="1"/>
  <c r="N8" i="42"/>
  <c r="I8" i="42"/>
  <c r="H8" i="42"/>
  <c r="F8" i="42"/>
  <c r="E8" i="42"/>
  <c r="S95" i="41"/>
  <c r="S83" i="41" s="1"/>
  <c r="R95" i="41"/>
  <c r="R83" i="41" s="1"/>
  <c r="M95" i="41"/>
  <c r="M83" i="41" s="1"/>
  <c r="G95" i="41"/>
  <c r="H95" i="41" s="1"/>
  <c r="D94" i="41"/>
  <c r="D93" i="41"/>
  <c r="D92" i="41"/>
  <c r="D91" i="41"/>
  <c r="D90" i="41"/>
  <c r="D89" i="41"/>
  <c r="D88" i="41"/>
  <c r="D87" i="41"/>
  <c r="D86" i="41"/>
  <c r="K85" i="41"/>
  <c r="K83" i="41" s="1"/>
  <c r="H85" i="41"/>
  <c r="D84" i="41"/>
  <c r="T83" i="41"/>
  <c r="Q83" i="41"/>
  <c r="P83" i="41"/>
  <c r="O83" i="41"/>
  <c r="N83" i="41"/>
  <c r="L83" i="41"/>
  <c r="J83" i="41"/>
  <c r="I83" i="41"/>
  <c r="F83" i="41"/>
  <c r="E83" i="41"/>
  <c r="C83" i="41"/>
  <c r="H82" i="41"/>
  <c r="D82" i="41"/>
  <c r="H81" i="41"/>
  <c r="D81" i="41" s="1"/>
  <c r="H80" i="41"/>
  <c r="D80" i="41" s="1"/>
  <c r="H79" i="41"/>
  <c r="D79" i="41"/>
  <c r="H78" i="41"/>
  <c r="E78" i="41"/>
  <c r="E74" i="41" s="1"/>
  <c r="H77" i="41"/>
  <c r="H76" i="41"/>
  <c r="H75" i="41"/>
  <c r="T74" i="41"/>
  <c r="S74" i="41"/>
  <c r="R74" i="41"/>
  <c r="Q74" i="41"/>
  <c r="P74" i="41"/>
  <c r="O74" i="41"/>
  <c r="N74" i="41"/>
  <c r="M74" i="41"/>
  <c r="L74" i="41"/>
  <c r="K74" i="41"/>
  <c r="J74" i="41"/>
  <c r="I74" i="41"/>
  <c r="G74" i="41"/>
  <c r="F74" i="41"/>
  <c r="H73" i="41"/>
  <c r="H72" i="41"/>
  <c r="H71" i="41"/>
  <c r="H70" i="41"/>
  <c r="H69" i="41"/>
  <c r="D69" i="41" s="1"/>
  <c r="H68" i="41"/>
  <c r="H67" i="41"/>
  <c r="T66" i="41"/>
  <c r="S66" i="41"/>
  <c r="R66" i="41"/>
  <c r="Q66" i="41"/>
  <c r="P66" i="41"/>
  <c r="O66" i="41"/>
  <c r="N66" i="41"/>
  <c r="M66" i="41"/>
  <c r="L66" i="41"/>
  <c r="K66" i="41"/>
  <c r="J66" i="41"/>
  <c r="I66" i="41"/>
  <c r="G66" i="41"/>
  <c r="F66" i="41"/>
  <c r="E66" i="41"/>
  <c r="H65" i="41"/>
  <c r="L64" i="41"/>
  <c r="L60" i="41" s="1"/>
  <c r="H64" i="41"/>
  <c r="H63" i="41"/>
  <c r="H62" i="41"/>
  <c r="H61" i="41"/>
  <c r="T60" i="41"/>
  <c r="S60" i="41"/>
  <c r="R60" i="41"/>
  <c r="Q60" i="41"/>
  <c r="P60" i="41"/>
  <c r="O60" i="41"/>
  <c r="N60" i="41"/>
  <c r="M60" i="41"/>
  <c r="K60" i="41"/>
  <c r="J60" i="41"/>
  <c r="I60" i="41"/>
  <c r="G60" i="41"/>
  <c r="F60" i="41"/>
  <c r="E60" i="41"/>
  <c r="H59" i="41"/>
  <c r="D59" i="41" s="1"/>
  <c r="K58" i="41"/>
  <c r="K56" i="41" s="1"/>
  <c r="H58" i="41"/>
  <c r="H57" i="41"/>
  <c r="D57" i="41" s="1"/>
  <c r="H56" i="41"/>
  <c r="H55" i="41"/>
  <c r="D55" i="41" s="1"/>
  <c r="O54" i="41"/>
  <c r="O53" i="41" s="1"/>
  <c r="O45" i="41" s="1"/>
  <c r="O9" i="41" s="1"/>
  <c r="H54" i="41"/>
  <c r="T53" i="41"/>
  <c r="S53" i="41"/>
  <c r="S45" i="41" s="1"/>
  <c r="S9" i="41" s="1"/>
  <c r="R53" i="41"/>
  <c r="Q53" i="41"/>
  <c r="P53" i="41"/>
  <c r="N53" i="41"/>
  <c r="M53" i="41"/>
  <c r="M45" i="41" s="1"/>
  <c r="M9" i="41" s="1"/>
  <c r="L53" i="41"/>
  <c r="K53" i="41"/>
  <c r="J53" i="41"/>
  <c r="I53" i="41"/>
  <c r="G53" i="41"/>
  <c r="F53" i="41"/>
  <c r="H53" i="41" s="1"/>
  <c r="E53" i="41"/>
  <c r="H52" i="41"/>
  <c r="D52" i="41" s="1"/>
  <c r="H51" i="41"/>
  <c r="D51" i="41" s="1"/>
  <c r="H50" i="41"/>
  <c r="D50" i="41" s="1"/>
  <c r="H49" i="41"/>
  <c r="D49" i="41" s="1"/>
  <c r="H48" i="41"/>
  <c r="D48" i="41" s="1"/>
  <c r="H47" i="41"/>
  <c r="D47" i="41" s="1"/>
  <c r="G46" i="41"/>
  <c r="F46" i="41"/>
  <c r="H44" i="41"/>
  <c r="D44" i="41" s="1"/>
  <c r="H43" i="41"/>
  <c r="D43" i="41" s="1"/>
  <c r="H42" i="41"/>
  <c r="D42" i="41" s="1"/>
  <c r="H41" i="41"/>
  <c r="D41" i="41" s="1"/>
  <c r="H40" i="41"/>
  <c r="D40" i="41" s="1"/>
  <c r="H39" i="41"/>
  <c r="D39" i="41" s="1"/>
  <c r="H38" i="41"/>
  <c r="D38" i="41" s="1"/>
  <c r="H37" i="41"/>
  <c r="D37" i="41" s="1"/>
  <c r="H36" i="41"/>
  <c r="D36" i="41" s="1"/>
  <c r="H35" i="41"/>
  <c r="D35" i="41" s="1"/>
  <c r="H34" i="41"/>
  <c r="D34" i="41" s="1"/>
  <c r="C34" i="41"/>
  <c r="H33" i="41"/>
  <c r="D33" i="41" s="1"/>
  <c r="H32" i="41"/>
  <c r="D32" i="41" s="1"/>
  <c r="H31" i="41"/>
  <c r="D31" i="41" s="1"/>
  <c r="C31" i="41"/>
  <c r="H30" i="41"/>
  <c r="D30" i="41" s="1"/>
  <c r="C30" i="41"/>
  <c r="H29" i="41"/>
  <c r="D29" i="41"/>
  <c r="C29" i="41"/>
  <c r="H28" i="41"/>
  <c r="D28" i="41" s="1"/>
  <c r="C28" i="41"/>
  <c r="H27" i="41"/>
  <c r="D27" i="41" s="1"/>
  <c r="C27" i="41"/>
  <c r="H26" i="41"/>
  <c r="D26" i="41" s="1"/>
  <c r="H25" i="41"/>
  <c r="D25" i="41" s="1"/>
  <c r="C25" i="41"/>
  <c r="H24" i="41"/>
  <c r="D24" i="41" s="1"/>
  <c r="C24" i="41"/>
  <c r="H23" i="41"/>
  <c r="D23" i="41" s="1"/>
  <c r="H22" i="41"/>
  <c r="D22" i="41" s="1"/>
  <c r="H21" i="41"/>
  <c r="D21" i="41" s="1"/>
  <c r="C21" i="41"/>
  <c r="H20" i="41"/>
  <c r="D20" i="41" s="1"/>
  <c r="I19" i="41"/>
  <c r="H19" i="41"/>
  <c r="D19" i="41" s="1"/>
  <c r="C19" i="41"/>
  <c r="H18" i="41"/>
  <c r="D18" i="41" s="1"/>
  <c r="C18" i="41"/>
  <c r="H17" i="41"/>
  <c r="D17" i="41" s="1"/>
  <c r="C17" i="41"/>
  <c r="H16" i="41"/>
  <c r="D16" i="41" s="1"/>
  <c r="C16" i="41"/>
  <c r="L15" i="41"/>
  <c r="D15" i="41" s="1"/>
  <c r="H15" i="41"/>
  <c r="C15" i="41"/>
  <c r="H14" i="41"/>
  <c r="D14" i="41" s="1"/>
  <c r="C14" i="41"/>
  <c r="H13" i="41"/>
  <c r="D13" i="41"/>
  <c r="H12" i="41"/>
  <c r="D12" i="41" s="1"/>
  <c r="H11" i="41"/>
  <c r="D11" i="41" s="1"/>
  <c r="D53" i="41" l="1"/>
  <c r="J8" i="42"/>
  <c r="D54" i="41"/>
  <c r="H46" i="41"/>
  <c r="D46" i="41" s="1"/>
  <c r="K45" i="41"/>
  <c r="K9" i="41" s="1"/>
  <c r="K8" i="41" s="1"/>
  <c r="G83" i="41"/>
  <c r="D56" i="41"/>
  <c r="J45" i="41"/>
  <c r="J9" i="41" s="1"/>
  <c r="N45" i="41"/>
  <c r="N9" i="41" s="1"/>
  <c r="R45" i="41"/>
  <c r="R9" i="41" s="1"/>
  <c r="R8" i="41" s="1"/>
  <c r="D58" i="41"/>
  <c r="G45" i="41"/>
  <c r="G9" i="41" s="1"/>
  <c r="G8" i="41" s="1"/>
  <c r="I45" i="41"/>
  <c r="I9" i="41" s="1"/>
  <c r="Q45" i="41"/>
  <c r="Q9" i="41" s="1"/>
  <c r="Q8" i="41" s="1"/>
  <c r="O8" i="41"/>
  <c r="J8" i="41"/>
  <c r="N8" i="41"/>
  <c r="I8" i="41"/>
  <c r="M8" i="41"/>
  <c r="H60" i="41"/>
  <c r="D60" i="41" s="1"/>
  <c r="H74" i="41"/>
  <c r="D74" i="41" s="1"/>
  <c r="L45" i="41"/>
  <c r="L9" i="41" s="1"/>
  <c r="L8" i="41" s="1"/>
  <c r="P45" i="41"/>
  <c r="P9" i="41" s="1"/>
  <c r="P8" i="41" s="1"/>
  <c r="T45" i="41"/>
  <c r="T9" i="41" s="1"/>
  <c r="T8" i="41" s="1"/>
  <c r="H66" i="41"/>
  <c r="S8" i="41"/>
  <c r="C9" i="41"/>
  <c r="C8" i="41" s="1"/>
  <c r="D95" i="41"/>
  <c r="E45" i="41"/>
  <c r="E9" i="41" s="1"/>
  <c r="E8" i="41" s="1"/>
  <c r="D66" i="41"/>
  <c r="H83" i="41"/>
  <c r="F45" i="41"/>
  <c r="D85" i="41"/>
  <c r="D83" i="41" l="1"/>
  <c r="H45" i="41"/>
  <c r="F9" i="41"/>
  <c r="F8" i="41" s="1"/>
  <c r="D45" i="41" l="1"/>
  <c r="D9" i="41" s="1"/>
  <c r="D8" i="41" s="1"/>
  <c r="H9" i="41"/>
  <c r="H8" i="41" s="1"/>
  <c r="K8" i="39" l="1"/>
  <c r="J8" i="39"/>
  <c r="I8" i="39"/>
  <c r="H8" i="39"/>
  <c r="G8" i="39"/>
  <c r="F8" i="39"/>
  <c r="E8" i="39"/>
  <c r="D8" i="39"/>
  <c r="C8" i="39"/>
  <c r="B81" i="38"/>
  <c r="B80" i="38" s="1"/>
  <c r="D79" i="38"/>
  <c r="B78" i="38"/>
  <c r="D78" i="38" s="1"/>
  <c r="C77" i="38"/>
  <c r="D77" i="38" s="1"/>
  <c r="D74" i="38"/>
  <c r="B73" i="38"/>
  <c r="D73" i="38" s="1"/>
  <c r="C72" i="38"/>
  <c r="C71" i="38"/>
  <c r="D71" i="38" s="1"/>
  <c r="D70" i="38"/>
  <c r="B65" i="38"/>
  <c r="D65" i="38" s="1"/>
  <c r="B62" i="38"/>
  <c r="D62" i="38" s="1"/>
  <c r="D60" i="38"/>
  <c r="D58" i="38"/>
  <c r="C55" i="38"/>
  <c r="C54" i="38" s="1"/>
  <c r="B54" i="38"/>
  <c r="B52" i="38"/>
  <c r="B53" i="38" s="1"/>
  <c r="C50" i="38"/>
  <c r="D50" i="38" s="1"/>
  <c r="D49" i="38"/>
  <c r="D47" i="38"/>
  <c r="D44" i="38"/>
  <c r="C43" i="38"/>
  <c r="C42" i="38"/>
  <c r="D42" i="38" s="1"/>
  <c r="C41" i="38"/>
  <c r="D41" i="38" s="1"/>
  <c r="C40" i="38"/>
  <c r="D40" i="38" s="1"/>
  <c r="B39" i="38"/>
  <c r="D35" i="38"/>
  <c r="B33" i="38"/>
  <c r="C33" i="38" s="1"/>
  <c r="C32" i="38"/>
  <c r="C31" i="38"/>
  <c r="D31" i="38" s="1"/>
  <c r="D27" i="38"/>
  <c r="C25" i="38"/>
  <c r="D25" i="38" s="1"/>
  <c r="C24" i="38"/>
  <c r="D24" i="38" s="1"/>
  <c r="C23" i="38"/>
  <c r="D23" i="38" s="1"/>
  <c r="B22" i="38"/>
  <c r="D19" i="38"/>
  <c r="C16" i="38"/>
  <c r="D16" i="38" s="1"/>
  <c r="C15" i="38"/>
  <c r="B14" i="38"/>
  <c r="C11" i="38"/>
  <c r="B11" i="38"/>
  <c r="C75" i="25"/>
  <c r="C74" i="25"/>
  <c r="C73" i="25"/>
  <c r="C72" i="25"/>
  <c r="C71" i="25"/>
  <c r="C70" i="25"/>
  <c r="C30" i="38" l="1"/>
  <c r="D11" i="38"/>
  <c r="C68" i="38"/>
  <c r="D68" i="38" s="1"/>
  <c r="B30" i="38"/>
  <c r="B9" i="38" s="1"/>
  <c r="B10" i="38" s="1"/>
  <c r="D32" i="38"/>
  <c r="D33" i="38"/>
  <c r="C75" i="38"/>
  <c r="D15" i="38"/>
  <c r="C14" i="38"/>
  <c r="D22" i="38"/>
  <c r="D39" i="38"/>
  <c r="C53" i="38"/>
  <c r="D53" i="38" s="1"/>
  <c r="C22" i="38"/>
  <c r="B56" i="38"/>
  <c r="C39" i="38"/>
  <c r="D75" i="38"/>
  <c r="C52" i="38"/>
  <c r="R93" i="37"/>
  <c r="I17" i="37"/>
  <c r="L13" i="37"/>
  <c r="D30" i="38" l="1"/>
  <c r="B13" i="38"/>
  <c r="B8" i="38"/>
  <c r="C51" i="38"/>
  <c r="C9" i="38" s="1"/>
  <c r="B12" i="38"/>
  <c r="D51" i="38"/>
  <c r="D56" i="38"/>
  <c r="B61" i="38"/>
  <c r="D14" i="38"/>
  <c r="D91" i="37"/>
  <c r="D90" i="37"/>
  <c r="D89" i="37"/>
  <c r="K56" i="37"/>
  <c r="K54" i="37" s="1"/>
  <c r="AO11" i="28"/>
  <c r="AN11" i="28"/>
  <c r="AM11" i="28"/>
  <c r="AL11" i="28"/>
  <c r="AK11" i="28"/>
  <c r="AJ11" i="28"/>
  <c r="AI11" i="28"/>
  <c r="AH11" i="28"/>
  <c r="AG11" i="28"/>
  <c r="AF11" i="28"/>
  <c r="AE11" i="28"/>
  <c r="AD11" i="28"/>
  <c r="AC11" i="28"/>
  <c r="AB11" i="28"/>
  <c r="AA11" i="28"/>
  <c r="Z11" i="28"/>
  <c r="Y11" i="28"/>
  <c r="AO10" i="28"/>
  <c r="AN10" i="28"/>
  <c r="AM10" i="28"/>
  <c r="AL10" i="28"/>
  <c r="AK10" i="28"/>
  <c r="AJ10" i="28"/>
  <c r="AI10" i="28"/>
  <c r="AH10" i="28"/>
  <c r="AG10" i="28"/>
  <c r="AF10" i="28"/>
  <c r="AE10" i="28"/>
  <c r="AD10" i="28"/>
  <c r="AC10" i="28"/>
  <c r="AB10" i="28"/>
  <c r="AA10" i="28"/>
  <c r="Z10" i="28"/>
  <c r="Y10" i="28"/>
  <c r="X10" i="28"/>
  <c r="X11" i="28"/>
  <c r="AO16" i="28"/>
  <c r="AN16" i="28"/>
  <c r="AM16" i="28"/>
  <c r="AL16" i="28"/>
  <c r="AK16" i="28"/>
  <c r="AJ16" i="28"/>
  <c r="AI16" i="28"/>
  <c r="AH16" i="28"/>
  <c r="AG16" i="28"/>
  <c r="AF16" i="28"/>
  <c r="AE16" i="28"/>
  <c r="AD16" i="28"/>
  <c r="AC16" i="28"/>
  <c r="AB16" i="28"/>
  <c r="AA16" i="28"/>
  <c r="Z16" i="28"/>
  <c r="Y16" i="28"/>
  <c r="X16" i="28"/>
  <c r="D92" i="37"/>
  <c r="D88" i="37"/>
  <c r="D87" i="37"/>
  <c r="D86" i="37"/>
  <c r="D85" i="37"/>
  <c r="D84" i="37"/>
  <c r="D82" i="37"/>
  <c r="I81" i="37"/>
  <c r="F81" i="37"/>
  <c r="H83" i="37"/>
  <c r="G93" i="37"/>
  <c r="G81" i="37" s="1"/>
  <c r="E81" i="37"/>
  <c r="L150" i="36"/>
  <c r="G139" i="36"/>
  <c r="G138" i="36"/>
  <c r="L136" i="36"/>
  <c r="G120" i="36"/>
  <c r="L103" i="36"/>
  <c r="G94" i="36"/>
  <c r="L71" i="36"/>
  <c r="K198" i="36"/>
  <c r="G56" i="36"/>
  <c r="G55" i="36"/>
  <c r="K203" i="36"/>
  <c r="L167" i="36"/>
  <c r="G158" i="36"/>
  <c r="G157" i="36"/>
  <c r="L173" i="36"/>
  <c r="H80" i="37"/>
  <c r="H79" i="37"/>
  <c r="H78" i="37"/>
  <c r="H77" i="37"/>
  <c r="H76" i="37"/>
  <c r="H75" i="37"/>
  <c r="H74" i="37"/>
  <c r="H73" i="37"/>
  <c r="H71" i="37"/>
  <c r="H70" i="37"/>
  <c r="H69" i="37"/>
  <c r="H68" i="37"/>
  <c r="H67" i="37"/>
  <c r="D67" i="37" s="1"/>
  <c r="H66" i="37"/>
  <c r="H65" i="37"/>
  <c r="H63" i="37"/>
  <c r="H62" i="37"/>
  <c r="H61" i="37"/>
  <c r="H60" i="37"/>
  <c r="H59" i="37"/>
  <c r="H57" i="37"/>
  <c r="D57" i="37" s="1"/>
  <c r="H56" i="37"/>
  <c r="H55" i="37"/>
  <c r="D55" i="37" s="1"/>
  <c r="H54" i="37"/>
  <c r="H53" i="37"/>
  <c r="D53" i="37" s="1"/>
  <c r="H52" i="37"/>
  <c r="H50" i="37"/>
  <c r="D50" i="37" s="1"/>
  <c r="H49" i="37"/>
  <c r="D49" i="37" s="1"/>
  <c r="H48" i="37"/>
  <c r="H47" i="37"/>
  <c r="D47" i="37" s="1"/>
  <c r="H46" i="37"/>
  <c r="D46" i="37" s="1"/>
  <c r="H45" i="37"/>
  <c r="D45" i="37" s="1"/>
  <c r="H42" i="37"/>
  <c r="D42" i="37" s="1"/>
  <c r="H41" i="37"/>
  <c r="H40" i="37"/>
  <c r="H39" i="37"/>
  <c r="D39" i="37" s="1"/>
  <c r="H38" i="37"/>
  <c r="H37" i="37"/>
  <c r="H36" i="37"/>
  <c r="D36" i="37" s="1"/>
  <c r="H35" i="37"/>
  <c r="H34" i="37"/>
  <c r="H33" i="37"/>
  <c r="D33" i="37" s="1"/>
  <c r="H32" i="37"/>
  <c r="H31" i="37"/>
  <c r="H30" i="37"/>
  <c r="H29" i="37"/>
  <c r="H28" i="37"/>
  <c r="D28" i="37" s="1"/>
  <c r="H27" i="37"/>
  <c r="H26" i="37"/>
  <c r="H25" i="37"/>
  <c r="D25" i="37" s="1"/>
  <c r="H24" i="37"/>
  <c r="H23" i="37"/>
  <c r="H22" i="37"/>
  <c r="H21" i="37"/>
  <c r="H20" i="37"/>
  <c r="H19" i="37"/>
  <c r="H18" i="37"/>
  <c r="H17" i="37"/>
  <c r="H16" i="37"/>
  <c r="D16" i="37" s="1"/>
  <c r="H15" i="37"/>
  <c r="H14" i="37"/>
  <c r="H13" i="37"/>
  <c r="H12" i="37"/>
  <c r="H11" i="37"/>
  <c r="D11" i="37" s="1"/>
  <c r="H10" i="37"/>
  <c r="H9" i="37"/>
  <c r="D9" i="37" s="1"/>
  <c r="S93" i="37"/>
  <c r="M93" i="37"/>
  <c r="K83" i="37"/>
  <c r="T81" i="37"/>
  <c r="Q81" i="37"/>
  <c r="P81" i="37"/>
  <c r="O81" i="37"/>
  <c r="N81" i="37"/>
  <c r="L81" i="37"/>
  <c r="J81" i="37"/>
  <c r="C81" i="37"/>
  <c r="D79" i="37"/>
  <c r="E76" i="37"/>
  <c r="T72" i="37"/>
  <c r="S72" i="37"/>
  <c r="R72" i="37"/>
  <c r="Q72" i="37"/>
  <c r="P72" i="37"/>
  <c r="O72" i="37"/>
  <c r="N72" i="37"/>
  <c r="M72" i="37"/>
  <c r="L72" i="37"/>
  <c r="K72" i="37"/>
  <c r="J72" i="37"/>
  <c r="I72" i="37"/>
  <c r="G72" i="37"/>
  <c r="F72" i="37"/>
  <c r="E72" i="37"/>
  <c r="T64" i="37"/>
  <c r="S64" i="37"/>
  <c r="R64" i="37"/>
  <c r="Q64" i="37"/>
  <c r="P64" i="37"/>
  <c r="O64" i="37"/>
  <c r="N64" i="37"/>
  <c r="M64" i="37"/>
  <c r="L64" i="37"/>
  <c r="K64" i="37"/>
  <c r="J64" i="37"/>
  <c r="I64" i="37"/>
  <c r="G64" i="37"/>
  <c r="F64" i="37"/>
  <c r="E64" i="37"/>
  <c r="L62" i="37"/>
  <c r="L58" i="37" s="1"/>
  <c r="T58" i="37"/>
  <c r="S58" i="37"/>
  <c r="R58" i="37"/>
  <c r="Q58" i="37"/>
  <c r="P58" i="37"/>
  <c r="O58" i="37"/>
  <c r="N58" i="37"/>
  <c r="M58" i="37"/>
  <c r="K58" i="37"/>
  <c r="J58" i="37"/>
  <c r="I58" i="37"/>
  <c r="G58" i="37"/>
  <c r="F58" i="37"/>
  <c r="E58" i="37"/>
  <c r="O52" i="37"/>
  <c r="T51" i="37"/>
  <c r="S51" i="37"/>
  <c r="R51" i="37"/>
  <c r="Q51" i="37"/>
  <c r="P51" i="37"/>
  <c r="O51" i="37"/>
  <c r="N51" i="37"/>
  <c r="M51" i="37"/>
  <c r="L51" i="37"/>
  <c r="K51" i="37"/>
  <c r="J51" i="37"/>
  <c r="I51" i="37"/>
  <c r="G51" i="37"/>
  <c r="F51" i="37"/>
  <c r="E51" i="37"/>
  <c r="D48" i="37"/>
  <c r="G44" i="37"/>
  <c r="F44" i="37"/>
  <c r="D41" i="37"/>
  <c r="D37" i="37"/>
  <c r="C32" i="37"/>
  <c r="C29" i="37"/>
  <c r="C28" i="37"/>
  <c r="C27" i="37"/>
  <c r="C26" i="37"/>
  <c r="C25" i="37"/>
  <c r="C23" i="37"/>
  <c r="C22" i="37"/>
  <c r="C19" i="37"/>
  <c r="C17" i="37"/>
  <c r="C16" i="37"/>
  <c r="C15" i="37"/>
  <c r="C14" i="37"/>
  <c r="C13" i="37"/>
  <c r="D12" i="37"/>
  <c r="C12" i="37"/>
  <c r="D83" i="37" l="1"/>
  <c r="C12" i="38"/>
  <c r="C8" i="38"/>
  <c r="C13" i="38"/>
  <c r="C10" i="38"/>
  <c r="D54" i="38"/>
  <c r="D61" i="38"/>
  <c r="D56" i="37"/>
  <c r="D52" i="37"/>
  <c r="H93" i="37"/>
  <c r="F43" i="37"/>
  <c r="F8" i="37" s="1"/>
  <c r="F7" i="37" s="1"/>
  <c r="H51" i="37"/>
  <c r="D51" i="37" s="1"/>
  <c r="G43" i="37"/>
  <c r="G8" i="37" s="1"/>
  <c r="G7" i="37" s="1"/>
  <c r="D54" i="37"/>
  <c r="H64" i="37"/>
  <c r="D64" i="37" s="1"/>
  <c r="O43" i="37"/>
  <c r="O8" i="37" s="1"/>
  <c r="O7" i="37" s="1"/>
  <c r="H44" i="37"/>
  <c r="D44" i="37" s="1"/>
  <c r="K43" i="37"/>
  <c r="K8" i="37" s="1"/>
  <c r="H58" i="37"/>
  <c r="D58" i="37" s="1"/>
  <c r="L43" i="37"/>
  <c r="L8" i="37" s="1"/>
  <c r="L7" i="37" s="1"/>
  <c r="T43" i="37"/>
  <c r="T8" i="37" s="1"/>
  <c r="T7" i="37" s="1"/>
  <c r="S43" i="37"/>
  <c r="S8" i="37" s="1"/>
  <c r="P43" i="37"/>
  <c r="P8" i="37" s="1"/>
  <c r="P7" i="37" s="1"/>
  <c r="H72" i="37"/>
  <c r="D72" i="37" s="1"/>
  <c r="M81" i="37"/>
  <c r="K81" i="37"/>
  <c r="R81" i="37"/>
  <c r="S81" i="37"/>
  <c r="C8" i="37"/>
  <c r="C7" i="37" s="1"/>
  <c r="J43" i="37"/>
  <c r="J8" i="37" s="1"/>
  <c r="J7" i="37" s="1"/>
  <c r="N43" i="37"/>
  <c r="N8" i="37" s="1"/>
  <c r="N7" i="37" s="1"/>
  <c r="R43" i="37"/>
  <c r="R8" i="37" s="1"/>
  <c r="I43" i="37"/>
  <c r="I8" i="37" s="1"/>
  <c r="I7" i="37" s="1"/>
  <c r="M43" i="37"/>
  <c r="M8" i="37" s="1"/>
  <c r="Q43" i="37"/>
  <c r="Q8" i="37" s="1"/>
  <c r="Q7" i="37" s="1"/>
  <c r="E43" i="37"/>
  <c r="E8" i="37" s="1"/>
  <c r="E7" i="37" s="1"/>
  <c r="D77" i="37"/>
  <c r="D31" i="37"/>
  <c r="D32" i="37"/>
  <c r="D26" i="37"/>
  <c r="D21" i="37"/>
  <c r="D18" i="37"/>
  <c r="D24" i="37"/>
  <c r="D34" i="37"/>
  <c r="D80" i="37"/>
  <c r="D10" i="37"/>
  <c r="D15" i="37"/>
  <c r="D22" i="37"/>
  <c r="D23" i="37"/>
  <c r="D29" i="37"/>
  <c r="D30" i="37"/>
  <c r="D40" i="37"/>
  <c r="D78" i="37"/>
  <c r="D14" i="37"/>
  <c r="D17" i="37"/>
  <c r="D19" i="37"/>
  <c r="D27" i="37"/>
  <c r="D35" i="37"/>
  <c r="D13" i="37"/>
  <c r="D20" i="37"/>
  <c r="D38" i="37"/>
  <c r="D9" i="38" l="1"/>
  <c r="H81" i="37"/>
  <c r="D93" i="37"/>
  <c r="D81" i="37" s="1"/>
  <c r="H43" i="37"/>
  <c r="H8" i="37" s="1"/>
  <c r="S7" i="37"/>
  <c r="K7" i="37"/>
  <c r="M7" i="37"/>
  <c r="R7" i="37"/>
  <c r="D43" i="37" l="1"/>
  <c r="D8" i="37" s="1"/>
  <c r="D10" i="38"/>
  <c r="D8" i="38"/>
  <c r="D13" i="38"/>
  <c r="D12" i="38"/>
  <c r="H7" i="37"/>
  <c r="D7" i="37"/>
  <c r="C24" i="32"/>
  <c r="D31" i="32"/>
  <c r="R24" i="36" l="1"/>
  <c r="R11" i="36"/>
  <c r="N139" i="36"/>
  <c r="C11" i="31"/>
  <c r="C28" i="31"/>
  <c r="E40" i="30"/>
  <c r="F31" i="32"/>
  <c r="N158" i="36"/>
  <c r="L89" i="36" l="1"/>
  <c r="G73" i="36"/>
  <c r="K199" i="36"/>
  <c r="G74" i="36"/>
  <c r="G53" i="36"/>
  <c r="L41" i="36"/>
  <c r="G35" i="36"/>
  <c r="C10" i="24" l="1"/>
  <c r="I31" i="32"/>
  <c r="G15" i="30" l="1"/>
  <c r="F15" i="30"/>
  <c r="H9" i="34"/>
  <c r="G9" i="34"/>
  <c r="H25" i="34"/>
  <c r="G25" i="34"/>
  <c r="G31" i="32"/>
  <c r="E29" i="32"/>
  <c r="AO12" i="28"/>
  <c r="AN12" i="28"/>
  <c r="AM12" i="28"/>
  <c r="AL12" i="28"/>
  <c r="AK12" i="28"/>
  <c r="AJ12" i="28"/>
  <c r="AI12" i="28"/>
  <c r="AH12" i="28"/>
  <c r="AG12" i="28"/>
  <c r="AF12" i="28"/>
  <c r="AE12" i="28"/>
  <c r="AD12" i="28"/>
  <c r="AC12" i="28"/>
  <c r="AB12" i="28"/>
  <c r="AA12" i="28"/>
  <c r="Z12" i="28"/>
  <c r="Y12" i="28"/>
  <c r="X12" i="28"/>
  <c r="J15" i="28" l="1"/>
  <c r="J19" i="28"/>
  <c r="J23" i="28"/>
  <c r="J27" i="28"/>
  <c r="J14" i="28"/>
  <c r="J18" i="28"/>
  <c r="J22" i="28"/>
  <c r="J26" i="28"/>
  <c r="J13" i="28"/>
  <c r="J17" i="28"/>
  <c r="J21" i="28"/>
  <c r="J25" i="28"/>
  <c r="J11" i="28"/>
  <c r="J12" i="28"/>
  <c r="J16" i="28"/>
  <c r="J20" i="28"/>
  <c r="J24" i="28"/>
  <c r="J28" i="28"/>
  <c r="W12" i="28"/>
  <c r="F212" i="36"/>
  <c r="F211" i="36"/>
  <c r="F210" i="36"/>
  <c r="F209" i="36"/>
  <c r="F208" i="36"/>
  <c r="F206" i="36"/>
  <c r="F205" i="36"/>
  <c r="F203" i="36"/>
  <c r="F199" i="36"/>
  <c r="F198" i="36"/>
  <c r="F197" i="36"/>
  <c r="F196" i="36"/>
  <c r="M196" i="36"/>
  <c r="M212" i="36"/>
  <c r="M211" i="36"/>
  <c r="M209" i="36"/>
  <c r="M207" i="36"/>
  <c r="M206" i="36"/>
  <c r="M205" i="36"/>
  <c r="Q198" i="36"/>
  <c r="Q197" i="36"/>
  <c r="Q195" i="36" s="1"/>
  <c r="Q210" i="36"/>
  <c r="M210" i="36" s="1"/>
  <c r="Q208" i="36"/>
  <c r="M208" i="36" s="1"/>
  <c r="K204" i="36"/>
  <c r="K207" i="36"/>
  <c r="F207" i="36" s="1"/>
  <c r="K202" i="36"/>
  <c r="F202" i="36" s="1"/>
  <c r="K201" i="36"/>
  <c r="F201" i="36" s="1"/>
  <c r="K200" i="36"/>
  <c r="F200" i="36" s="1"/>
  <c r="J66" i="36"/>
  <c r="M8" i="32"/>
  <c r="G17" i="30" s="1"/>
  <c r="H17" i="34" s="1"/>
  <c r="M8" i="33"/>
  <c r="L132" i="36"/>
  <c r="L155" i="36"/>
  <c r="L154" i="36"/>
  <c r="L148" i="36"/>
  <c r="L108" i="36"/>
  <c r="L82" i="36"/>
  <c r="K195" i="36"/>
  <c r="K194" i="36" s="1"/>
  <c r="G153" i="36"/>
  <c r="G119" i="36"/>
  <c r="G111" i="36"/>
  <c r="G110" i="36"/>
  <c r="G105" i="36"/>
  <c r="L68" i="36"/>
  <c r="G60" i="36"/>
  <c r="G52" i="36"/>
  <c r="E36" i="34"/>
  <c r="E35" i="34"/>
  <c r="E34" i="34"/>
  <c r="E33" i="34"/>
  <c r="E32" i="34"/>
  <c r="E29" i="34"/>
  <c r="E23" i="34"/>
  <c r="E14" i="34"/>
  <c r="E13" i="34"/>
  <c r="E11" i="34"/>
  <c r="H20" i="33"/>
  <c r="H17" i="33"/>
  <c r="H14" i="33"/>
  <c r="C21" i="33"/>
  <c r="L19" i="33"/>
  <c r="L20" i="33" s="1"/>
  <c r="K19" i="33"/>
  <c r="K20" i="33" s="1"/>
  <c r="C18" i="33"/>
  <c r="C12" i="33" s="1"/>
  <c r="C11" i="33" s="1"/>
  <c r="C15" i="33"/>
  <c r="L14" i="33"/>
  <c r="E12" i="33"/>
  <c r="K11" i="33"/>
  <c r="D9" i="33"/>
  <c r="F9" i="33" s="1"/>
  <c r="L8" i="33"/>
  <c r="C8" i="33"/>
  <c r="E7" i="33"/>
  <c r="F30" i="34"/>
  <c r="E30" i="34" s="1"/>
  <c r="D30" i="34"/>
  <c r="C30" i="34"/>
  <c r="D25" i="34"/>
  <c r="C25" i="34"/>
  <c r="F21" i="34"/>
  <c r="E21" i="34" s="1"/>
  <c r="D21" i="34"/>
  <c r="C21" i="34"/>
  <c r="D20" i="34"/>
  <c r="D28" i="34" s="1"/>
  <c r="C20" i="34"/>
  <c r="C28" i="34" s="1"/>
  <c r="D19" i="34"/>
  <c r="D27" i="34" s="1"/>
  <c r="C19" i="34"/>
  <c r="C27" i="34" s="1"/>
  <c r="D17" i="34"/>
  <c r="C17" i="34"/>
  <c r="D15" i="34"/>
  <c r="C15" i="34"/>
  <c r="D12" i="34"/>
  <c r="D10" i="34" s="1"/>
  <c r="C12" i="34"/>
  <c r="C10" i="34" s="1"/>
  <c r="D9" i="34"/>
  <c r="C9" i="34"/>
  <c r="K11" i="32"/>
  <c r="L8" i="32"/>
  <c r="F17" i="30" s="1"/>
  <c r="F27" i="32" s="1"/>
  <c r="I6" i="33" l="1"/>
  <c r="Q204" i="36"/>
  <c r="E196" i="36"/>
  <c r="G17" i="34"/>
  <c r="I6" i="32"/>
  <c r="G27" i="32"/>
  <c r="D8" i="34"/>
  <c r="C26" i="34"/>
  <c r="C24" i="34" s="1"/>
  <c r="C31" i="34" s="1"/>
  <c r="C8" i="34"/>
  <c r="G9" i="33"/>
  <c r="H9" i="33" s="1"/>
  <c r="E9" i="33"/>
  <c r="C7" i="33"/>
  <c r="L21" i="33"/>
  <c r="L22" i="33" s="1"/>
  <c r="K21" i="33"/>
  <c r="K22" i="33" s="1"/>
  <c r="D26" i="34"/>
  <c r="D24" i="34" s="1"/>
  <c r="D31" i="34" s="1"/>
  <c r="D18" i="34"/>
  <c r="D16" i="34" s="1"/>
  <c r="C18" i="34"/>
  <c r="C16" i="34" s="1"/>
  <c r="C22" i="34" s="1"/>
  <c r="L14" i="32"/>
  <c r="L20" i="32"/>
  <c r="K20" i="32"/>
  <c r="D21" i="32"/>
  <c r="C21" i="32"/>
  <c r="C15" i="32"/>
  <c r="D15" i="32"/>
  <c r="C18" i="32"/>
  <c r="C13" i="32" s="1"/>
  <c r="C12" i="32" s="1"/>
  <c r="F9" i="32"/>
  <c r="E19" i="30"/>
  <c r="F19" i="34" s="1"/>
  <c r="F27" i="34" s="1"/>
  <c r="D9" i="32"/>
  <c r="G9" i="32" s="1"/>
  <c r="C8" i="32"/>
  <c r="E30" i="30"/>
  <c r="D30" i="30"/>
  <c r="C30" i="30"/>
  <c r="D25" i="30"/>
  <c r="C25" i="30"/>
  <c r="E21" i="30"/>
  <c r="D21" i="30"/>
  <c r="D20" i="30"/>
  <c r="D28" i="30" s="1"/>
  <c r="D19" i="30"/>
  <c r="D17" i="30"/>
  <c r="C21" i="30"/>
  <c r="C20" i="30"/>
  <c r="C28" i="30" s="1"/>
  <c r="C19" i="30"/>
  <c r="C27" i="30" s="1"/>
  <c r="C17" i="30"/>
  <c r="D15" i="30"/>
  <c r="E12" i="30"/>
  <c r="E10" i="30" s="1"/>
  <c r="D12" i="30"/>
  <c r="D10" i="30" s="1"/>
  <c r="D9" i="30"/>
  <c r="C15" i="30"/>
  <c r="C12" i="30"/>
  <c r="C10" i="30" s="1"/>
  <c r="C9" i="30"/>
  <c r="L62" i="36"/>
  <c r="L60" i="36"/>
  <c r="F8" i="29"/>
  <c r="N140" i="36"/>
  <c r="F23" i="32" l="1"/>
  <c r="K21" i="32"/>
  <c r="K22" i="32" s="1"/>
  <c r="E9" i="32"/>
  <c r="L21" i="32"/>
  <c r="L22" i="32" s="1"/>
  <c r="G23" i="32"/>
  <c r="I12" i="32"/>
  <c r="D18" i="30"/>
  <c r="D8" i="30"/>
  <c r="C8" i="30"/>
  <c r="D16" i="30"/>
  <c r="D15" i="33"/>
  <c r="F15" i="32"/>
  <c r="F12" i="34"/>
  <c r="F10" i="34" s="1"/>
  <c r="F12" i="30"/>
  <c r="F39" i="30" s="1"/>
  <c r="E27" i="30"/>
  <c r="D27" i="30"/>
  <c r="D26" i="30" s="1"/>
  <c r="D24" i="30" s="1"/>
  <c r="D31" i="30" s="1"/>
  <c r="F19" i="30"/>
  <c r="D22" i="34"/>
  <c r="D21" i="33"/>
  <c r="F21" i="32"/>
  <c r="E21" i="32"/>
  <c r="E15" i="32"/>
  <c r="I11" i="32"/>
  <c r="I11" i="33"/>
  <c r="J11" i="33" s="1"/>
  <c r="K12" i="33" s="1"/>
  <c r="J6" i="33"/>
  <c r="J6" i="32"/>
  <c r="E25" i="30"/>
  <c r="E9" i="30"/>
  <c r="C26" i="30"/>
  <c r="C24" i="30" s="1"/>
  <c r="C31" i="30" s="1"/>
  <c r="C18" i="30"/>
  <c r="C16" i="30" s="1"/>
  <c r="C22" i="30" l="1"/>
  <c r="D22" i="30"/>
  <c r="K9" i="30"/>
  <c r="F25" i="34"/>
  <c r="E25" i="34" s="1"/>
  <c r="G21" i="32"/>
  <c r="G21" i="33" s="1"/>
  <c r="F21" i="33"/>
  <c r="F9" i="34"/>
  <c r="E9" i="34" s="1"/>
  <c r="F27" i="30"/>
  <c r="G19" i="34"/>
  <c r="G19" i="30"/>
  <c r="G15" i="32"/>
  <c r="G15" i="33" s="1"/>
  <c r="F15" i="33"/>
  <c r="G12" i="30"/>
  <c r="G39" i="30" s="1"/>
  <c r="G12" i="34"/>
  <c r="F10" i="30"/>
  <c r="U10" i="28"/>
  <c r="T10" i="28"/>
  <c r="S10" i="28"/>
  <c r="N10" i="28"/>
  <c r="J10" i="28"/>
  <c r="G10" i="28"/>
  <c r="F10" i="28"/>
  <c r="E43" i="23"/>
  <c r="R160" i="36"/>
  <c r="W174" i="36"/>
  <c r="X174" i="36" s="1"/>
  <c r="T174" i="36"/>
  <c r="U174" i="36" s="1"/>
  <c r="M174" i="36"/>
  <c r="F174" i="36"/>
  <c r="H21" i="33" l="1"/>
  <c r="H15" i="33"/>
  <c r="G27" i="34"/>
  <c r="H12" i="34"/>
  <c r="E12" i="34" s="1"/>
  <c r="G10" i="30"/>
  <c r="H19" i="34"/>
  <c r="G27" i="30"/>
  <c r="K11" i="34"/>
  <c r="G10" i="34"/>
  <c r="E46" i="25"/>
  <c r="C46" i="25" s="1"/>
  <c r="E174" i="36"/>
  <c r="V162" i="36"/>
  <c r="V147" i="36"/>
  <c r="V134" i="36"/>
  <c r="V69" i="36"/>
  <c r="H27" i="34" l="1"/>
  <c r="L11" i="34"/>
  <c r="H10" i="34"/>
  <c r="E10" i="34" s="1"/>
  <c r="E19" i="34"/>
  <c r="D48" i="23"/>
  <c r="C29" i="24"/>
  <c r="E27" i="34" l="1"/>
  <c r="N95" i="36"/>
  <c r="R65" i="36"/>
  <c r="R69" i="36"/>
  <c r="L163" i="36"/>
  <c r="L107" i="36"/>
  <c r="M139" i="36"/>
  <c r="N53" i="36"/>
  <c r="V87" i="36"/>
  <c r="V115" i="36"/>
  <c r="M195" i="36"/>
  <c r="F204" i="36"/>
  <c r="F195" i="36"/>
  <c r="E195" i="36" s="1"/>
  <c r="G43" i="36"/>
  <c r="N44" i="36"/>
  <c r="N36" i="36"/>
  <c r="P69" i="36"/>
  <c r="L220" i="36" l="1"/>
  <c r="L92" i="36"/>
  <c r="M194" i="36"/>
  <c r="G91" i="36"/>
  <c r="M152" i="36"/>
  <c r="R145" i="36"/>
  <c r="G151" i="36"/>
  <c r="G123" i="36"/>
  <c r="J100" i="36"/>
  <c r="G95" i="36"/>
  <c r="G106" i="36"/>
  <c r="J115" i="36"/>
  <c r="N91" i="36"/>
  <c r="I47" i="23"/>
  <c r="L47" i="23" s="1"/>
  <c r="L194" i="36" s="1"/>
  <c r="C38" i="24"/>
  <c r="K50" i="23"/>
  <c r="K51" i="23" s="1"/>
  <c r="E15" i="30" l="1"/>
  <c r="E39" i="30" s="1"/>
  <c r="M204" i="36"/>
  <c r="E204" i="36" s="1"/>
  <c r="L218" i="36"/>
  <c r="D47" i="23"/>
  <c r="C31" i="31"/>
  <c r="D24" i="25"/>
  <c r="C24" i="25" s="1"/>
  <c r="N157" i="36"/>
  <c r="D5" i="36"/>
  <c r="E41" i="30" l="1"/>
  <c r="K15" i="30"/>
  <c r="F15" i="34"/>
  <c r="F8" i="34" s="1"/>
  <c r="E8" i="30"/>
  <c r="F194" i="36"/>
  <c r="E194" i="36" s="1"/>
  <c r="C15" i="36"/>
  <c r="D23" i="33" l="1"/>
  <c r="D23" i="32"/>
  <c r="E23" i="32" l="1"/>
  <c r="I23" i="32"/>
  <c r="C109" i="36" l="1"/>
  <c r="N35" i="36" l="1"/>
  <c r="N119" i="36"/>
  <c r="H25" i="23" l="1"/>
  <c r="C26" i="24" l="1"/>
  <c r="C25" i="24"/>
  <c r="G118" i="36"/>
  <c r="G156" i="36"/>
  <c r="V214" i="36"/>
  <c r="N111" i="36" l="1"/>
  <c r="V146" i="36" l="1"/>
  <c r="C25" i="25"/>
  <c r="C17" i="25"/>
  <c r="C15" i="25"/>
  <c r="C14" i="25"/>
  <c r="C13" i="25"/>
  <c r="L13" i="36"/>
  <c r="V15" i="36" l="1"/>
  <c r="V10" i="36" l="1"/>
  <c r="E52" i="25"/>
  <c r="D54" i="25"/>
  <c r="C54" i="25" s="1"/>
  <c r="D53" i="25"/>
  <c r="C53" i="25" s="1"/>
  <c r="D51" i="25"/>
  <c r="C51" i="25" s="1"/>
  <c r="D50" i="25"/>
  <c r="C50" i="25" s="1"/>
  <c r="D42" i="25"/>
  <c r="C59" i="25"/>
  <c r="G44" i="36"/>
  <c r="C42" i="25" l="1"/>
  <c r="C43" i="26"/>
  <c r="D52" i="25"/>
  <c r="C52" i="25" s="1"/>
  <c r="D49" i="25"/>
  <c r="C49" i="25" s="1"/>
  <c r="V99" i="36"/>
  <c r="E72" i="23"/>
  <c r="E71" i="23"/>
  <c r="E70" i="23"/>
  <c r="E69" i="23"/>
  <c r="E68" i="23"/>
  <c r="E67" i="23"/>
  <c r="E66" i="23"/>
  <c r="E65" i="23"/>
  <c r="E64" i="23"/>
  <c r="E61" i="23"/>
  <c r="F59" i="23"/>
  <c r="E59" i="23"/>
  <c r="F56" i="23"/>
  <c r="E56" i="23"/>
  <c r="F55" i="23"/>
  <c r="E55" i="23"/>
  <c r="F53" i="23"/>
  <c r="E53" i="23"/>
  <c r="F52" i="23"/>
  <c r="E52" i="23"/>
  <c r="F45" i="23"/>
  <c r="E45" i="23"/>
  <c r="F44" i="23"/>
  <c r="E44" i="23"/>
  <c r="F21" i="23"/>
  <c r="E21" i="23"/>
  <c r="E15" i="23"/>
  <c r="E14" i="23"/>
  <c r="E13" i="23"/>
  <c r="E12" i="23"/>
  <c r="C13" i="31"/>
  <c r="C62" i="23"/>
  <c r="C60" i="23"/>
  <c r="E60" i="23" s="1"/>
  <c r="C11" i="23"/>
  <c r="C20" i="23"/>
  <c r="C40" i="23"/>
  <c r="C37" i="23"/>
  <c r="C35" i="23"/>
  <c r="C32" i="23"/>
  <c r="C28" i="23"/>
  <c r="H59" i="23"/>
  <c r="C15" i="24"/>
  <c r="C9" i="24" s="1"/>
  <c r="C25" i="23" l="1"/>
  <c r="C22" i="33"/>
  <c r="C22" i="32"/>
  <c r="C19" i="32" s="1"/>
  <c r="C11" i="32" s="1"/>
  <c r="C10" i="31"/>
  <c r="C48" i="25"/>
  <c r="D48" i="25"/>
  <c r="F60" i="23"/>
  <c r="C7" i="32" l="1"/>
  <c r="I14" i="32"/>
  <c r="I15" i="32" s="1"/>
  <c r="I19" i="32"/>
  <c r="J11" i="32"/>
  <c r="K12" i="32" s="1"/>
  <c r="N57" i="36"/>
  <c r="L123" i="36"/>
  <c r="L140" i="36"/>
  <c r="C10" i="23"/>
  <c r="C9" i="23" s="1"/>
  <c r="C50" i="23"/>
  <c r="D63" i="23"/>
  <c r="D58" i="23"/>
  <c r="D54" i="23"/>
  <c r="D51" i="23"/>
  <c r="C54" i="23"/>
  <c r="C51" i="23"/>
  <c r="C58" i="23"/>
  <c r="C57" i="23" l="1"/>
  <c r="C49" i="23" s="1"/>
  <c r="C8" i="23" s="1"/>
  <c r="C16" i="33"/>
  <c r="C16" i="32"/>
  <c r="E63" i="23"/>
  <c r="E58" i="23"/>
  <c r="F58" i="23"/>
  <c r="H51" i="23"/>
  <c r="E51" i="23"/>
  <c r="F51" i="23"/>
  <c r="E54" i="23"/>
  <c r="F54" i="23"/>
  <c r="D62" i="23"/>
  <c r="D22" i="32" s="1"/>
  <c r="D50" i="23"/>
  <c r="C31" i="24" s="1"/>
  <c r="D22" i="33" l="1"/>
  <c r="E22" i="32"/>
  <c r="F22" i="32"/>
  <c r="E50" i="23"/>
  <c r="F50" i="23"/>
  <c r="E62" i="23"/>
  <c r="F62" i="23"/>
  <c r="D57" i="23"/>
  <c r="C32" i="24" s="1"/>
  <c r="C30" i="24" s="1"/>
  <c r="G22" i="32" l="1"/>
  <c r="G22" i="33" s="1"/>
  <c r="F22" i="33"/>
  <c r="H22" i="33"/>
  <c r="D49" i="23"/>
  <c r="F49" i="23" s="1"/>
  <c r="E57" i="23"/>
  <c r="F57" i="23"/>
  <c r="M215" i="36"/>
  <c r="F167" i="36"/>
  <c r="L141" i="36"/>
  <c r="N123" i="36"/>
  <c r="P130" i="36"/>
  <c r="M128" i="36"/>
  <c r="F117" i="36"/>
  <c r="F92" i="36"/>
  <c r="F89" i="36"/>
  <c r="N141" i="36"/>
  <c r="P66" i="36"/>
  <c r="N121" i="36"/>
  <c r="N60" i="36"/>
  <c r="N59" i="36"/>
  <c r="N58" i="36"/>
  <c r="N127" i="36"/>
  <c r="N125" i="36"/>
  <c r="N122" i="36"/>
  <c r="M122" i="36" s="1"/>
  <c r="N76" i="36"/>
  <c r="V169" i="36"/>
  <c r="V151" i="36"/>
  <c r="V137" i="36"/>
  <c r="V109" i="36"/>
  <c r="V104" i="36"/>
  <c r="V93" i="36"/>
  <c r="V90" i="36"/>
  <c r="V42" i="36"/>
  <c r="V34" i="36"/>
  <c r="V27" i="36"/>
  <c r="V66" i="36"/>
  <c r="V85" i="36"/>
  <c r="V72" i="36" s="1"/>
  <c r="V130" i="36"/>
  <c r="V161" i="36"/>
  <c r="V156" i="36" s="1"/>
  <c r="W215" i="36"/>
  <c r="W213" i="36"/>
  <c r="W193" i="36"/>
  <c r="W192" i="36"/>
  <c r="W190" i="36"/>
  <c r="W189" i="36"/>
  <c r="W188" i="36"/>
  <c r="W187" i="36"/>
  <c r="W186" i="36"/>
  <c r="W184" i="36"/>
  <c r="W183" i="36"/>
  <c r="W182" i="36"/>
  <c r="W181" i="36"/>
  <c r="W180" i="36"/>
  <c r="W179" i="36"/>
  <c r="W178" i="36"/>
  <c r="W175" i="36"/>
  <c r="W173" i="36"/>
  <c r="W172" i="36"/>
  <c r="W171" i="36"/>
  <c r="W170" i="36"/>
  <c r="W168" i="36"/>
  <c r="W167" i="36"/>
  <c r="W166" i="36"/>
  <c r="W165" i="36"/>
  <c r="W164" i="36"/>
  <c r="W163" i="36"/>
  <c r="W162" i="36"/>
  <c r="W161" i="36"/>
  <c r="W160" i="36"/>
  <c r="W159" i="36"/>
  <c r="W158" i="36"/>
  <c r="W157" i="36"/>
  <c r="W155" i="36"/>
  <c r="W154" i="36"/>
  <c r="W153" i="36"/>
  <c r="W152" i="36"/>
  <c r="W150" i="36"/>
  <c r="W149" i="36"/>
  <c r="W148" i="36"/>
  <c r="W147" i="36"/>
  <c r="W146" i="36"/>
  <c r="W145" i="36"/>
  <c r="W144" i="36"/>
  <c r="W143" i="36"/>
  <c r="W142" i="36"/>
  <c r="W141" i="36"/>
  <c r="W140" i="36"/>
  <c r="W139" i="36"/>
  <c r="W138" i="36"/>
  <c r="W136" i="36"/>
  <c r="W135" i="36"/>
  <c r="W134" i="36"/>
  <c r="W133" i="36"/>
  <c r="W132" i="36"/>
  <c r="W131" i="36"/>
  <c r="W129" i="36"/>
  <c r="W128" i="36"/>
  <c r="W127" i="36"/>
  <c r="W126" i="36"/>
  <c r="W125" i="36"/>
  <c r="W124" i="36"/>
  <c r="W123" i="36"/>
  <c r="W122" i="36"/>
  <c r="W121" i="36"/>
  <c r="W120" i="36"/>
  <c r="W119" i="36"/>
  <c r="W117" i="36"/>
  <c r="W116" i="36"/>
  <c r="W115" i="36"/>
  <c r="W114" i="36"/>
  <c r="W113" i="36"/>
  <c r="W112" i="36"/>
  <c r="W111" i="36"/>
  <c r="W110" i="36"/>
  <c r="W108" i="36"/>
  <c r="W107" i="36"/>
  <c r="W106" i="36"/>
  <c r="W105" i="36"/>
  <c r="W103" i="36"/>
  <c r="W102" i="36"/>
  <c r="W101" i="36"/>
  <c r="W100" i="36"/>
  <c r="W99" i="36"/>
  <c r="W98" i="36"/>
  <c r="W97" i="36"/>
  <c r="W96" i="36"/>
  <c r="W95" i="36"/>
  <c r="W94" i="36"/>
  <c r="W92" i="36"/>
  <c r="W91" i="36"/>
  <c r="W89" i="36"/>
  <c r="X89" i="36" s="1"/>
  <c r="W88" i="36"/>
  <c r="X88" i="36" s="1"/>
  <c r="W87" i="36"/>
  <c r="W86" i="36"/>
  <c r="W85" i="36"/>
  <c r="W84" i="36"/>
  <c r="W83" i="36"/>
  <c r="W82" i="36"/>
  <c r="W81" i="36"/>
  <c r="W80" i="36"/>
  <c r="W79" i="36"/>
  <c r="W78" i="36"/>
  <c r="W77" i="36"/>
  <c r="W76" i="36"/>
  <c r="W75" i="36"/>
  <c r="W74" i="36"/>
  <c r="W73" i="36"/>
  <c r="W71" i="36"/>
  <c r="W70" i="36"/>
  <c r="W69" i="36"/>
  <c r="W68" i="36"/>
  <c r="W67" i="36"/>
  <c r="W65" i="36"/>
  <c r="X65" i="36" s="1"/>
  <c r="W64" i="36"/>
  <c r="X64" i="36" s="1"/>
  <c r="W63" i="36"/>
  <c r="X63" i="36" s="1"/>
  <c r="W62" i="36"/>
  <c r="X62" i="36" s="1"/>
  <c r="W61" i="36"/>
  <c r="X61" i="36" s="1"/>
  <c r="W60" i="36"/>
  <c r="X60" i="36" s="1"/>
  <c r="W59" i="36"/>
  <c r="X59" i="36" s="1"/>
  <c r="W58" i="36"/>
  <c r="X58" i="36" s="1"/>
  <c r="W57" i="36"/>
  <c r="X57" i="36" s="1"/>
  <c r="W56" i="36"/>
  <c r="X56" i="36" s="1"/>
  <c r="W55" i="36"/>
  <c r="X55" i="36" s="1"/>
  <c r="W53" i="36"/>
  <c r="X53" i="36" s="1"/>
  <c r="W52" i="36"/>
  <c r="X52" i="36" s="1"/>
  <c r="W49" i="36"/>
  <c r="X49" i="36" s="1"/>
  <c r="W48" i="36"/>
  <c r="X48" i="36" s="1"/>
  <c r="W47" i="36"/>
  <c r="X47" i="36" s="1"/>
  <c r="W46" i="36"/>
  <c r="X46" i="36" s="1"/>
  <c r="W45" i="36"/>
  <c r="X45" i="36" s="1"/>
  <c r="W44" i="36"/>
  <c r="X44" i="36" s="1"/>
  <c r="W43" i="36"/>
  <c r="X43" i="36" s="1"/>
  <c r="W41" i="36"/>
  <c r="X41" i="36" s="1"/>
  <c r="W40" i="36"/>
  <c r="X40" i="36" s="1"/>
  <c r="W39" i="36"/>
  <c r="X39" i="36" s="1"/>
  <c r="W38" i="36"/>
  <c r="X38" i="36" s="1"/>
  <c r="W37" i="36"/>
  <c r="X37" i="36" s="1"/>
  <c r="W36" i="36"/>
  <c r="X36" i="36" s="1"/>
  <c r="W35" i="36"/>
  <c r="X35" i="36" s="1"/>
  <c r="W33" i="36"/>
  <c r="W31" i="36"/>
  <c r="W30" i="36"/>
  <c r="W29" i="36"/>
  <c r="W28" i="36"/>
  <c r="W27" i="36"/>
  <c r="W26" i="36"/>
  <c r="W25" i="36"/>
  <c r="W24" i="36"/>
  <c r="W23" i="36"/>
  <c r="W22" i="36"/>
  <c r="W20" i="36"/>
  <c r="W19" i="36"/>
  <c r="W18" i="36"/>
  <c r="W17" i="36"/>
  <c r="W16" i="36"/>
  <c r="W14" i="36"/>
  <c r="W13" i="36"/>
  <c r="W12" i="36"/>
  <c r="W11" i="36"/>
  <c r="S14" i="36"/>
  <c r="S13" i="36"/>
  <c r="T215" i="36"/>
  <c r="T214" i="36"/>
  <c r="T213" i="36"/>
  <c r="T193" i="36"/>
  <c r="T192" i="36"/>
  <c r="T190" i="36"/>
  <c r="T189" i="36"/>
  <c r="T188" i="36"/>
  <c r="T187" i="36"/>
  <c r="T186" i="36"/>
  <c r="T184" i="36"/>
  <c r="T183" i="36"/>
  <c r="T182" i="36"/>
  <c r="T181" i="36"/>
  <c r="T180" i="36"/>
  <c r="T179" i="36"/>
  <c r="T178" i="36"/>
  <c r="T175" i="36"/>
  <c r="T173" i="36"/>
  <c r="T172" i="36"/>
  <c r="T171" i="36"/>
  <c r="T170" i="36"/>
  <c r="T168" i="36"/>
  <c r="T167" i="36"/>
  <c r="T165" i="36"/>
  <c r="T163" i="36"/>
  <c r="T162" i="36"/>
  <c r="T161" i="36"/>
  <c r="T155" i="36"/>
  <c r="T154" i="36"/>
  <c r="T153" i="36"/>
  <c r="T152" i="36"/>
  <c r="T150" i="36"/>
  <c r="T149" i="36"/>
  <c r="T148" i="36"/>
  <c r="T147" i="36"/>
  <c r="T146" i="36"/>
  <c r="T145" i="36"/>
  <c r="T144" i="36"/>
  <c r="T143" i="36"/>
  <c r="T142" i="36"/>
  <c r="T141" i="36"/>
  <c r="T140" i="36"/>
  <c r="T139" i="36"/>
  <c r="T138" i="36"/>
  <c r="T136" i="36"/>
  <c r="T135" i="36"/>
  <c r="T134" i="36"/>
  <c r="T133" i="36"/>
  <c r="T132" i="36"/>
  <c r="T131" i="36"/>
  <c r="T130" i="36"/>
  <c r="U130" i="36" s="1"/>
  <c r="T129" i="36"/>
  <c r="T128" i="36"/>
  <c r="T127" i="36"/>
  <c r="T126" i="36"/>
  <c r="T125" i="36"/>
  <c r="T124" i="36"/>
  <c r="T123" i="36"/>
  <c r="T122" i="36"/>
  <c r="T121" i="36"/>
  <c r="T120" i="36"/>
  <c r="T119" i="36"/>
  <c r="T117" i="36"/>
  <c r="T116" i="36"/>
  <c r="T115" i="36"/>
  <c r="T114" i="36"/>
  <c r="T113" i="36"/>
  <c r="T111" i="36"/>
  <c r="T110" i="36"/>
  <c r="T108" i="36"/>
  <c r="T107" i="36"/>
  <c r="T106" i="36"/>
  <c r="T105" i="36"/>
  <c r="T103" i="36"/>
  <c r="T102" i="36"/>
  <c r="T101" i="36"/>
  <c r="T100" i="36"/>
  <c r="T99" i="36"/>
  <c r="T98" i="36"/>
  <c r="T97" i="36"/>
  <c r="T96" i="36"/>
  <c r="T95" i="36"/>
  <c r="T94" i="36"/>
  <c r="T92" i="36"/>
  <c r="T91" i="36"/>
  <c r="T89" i="36"/>
  <c r="T88" i="36"/>
  <c r="T87" i="36"/>
  <c r="T86" i="36"/>
  <c r="T85" i="36"/>
  <c r="T84" i="36"/>
  <c r="T83" i="36"/>
  <c r="T82" i="36"/>
  <c r="T81" i="36"/>
  <c r="T80" i="36"/>
  <c r="T79" i="36"/>
  <c r="T78" i="36"/>
  <c r="T77" i="36"/>
  <c r="T75" i="36"/>
  <c r="T74" i="36"/>
  <c r="T73" i="36"/>
  <c r="T71" i="36"/>
  <c r="T70" i="36"/>
  <c r="T69" i="36"/>
  <c r="T68" i="36"/>
  <c r="T67" i="36"/>
  <c r="T66" i="36"/>
  <c r="T65" i="36"/>
  <c r="T64" i="36"/>
  <c r="T63" i="36"/>
  <c r="T62" i="36"/>
  <c r="T61" i="36"/>
  <c r="T60" i="36"/>
  <c r="T59" i="36"/>
  <c r="T58" i="36"/>
  <c r="T57" i="36"/>
  <c r="T56" i="36"/>
  <c r="T55" i="36"/>
  <c r="T53" i="36"/>
  <c r="T52" i="36"/>
  <c r="T49" i="36"/>
  <c r="T48" i="36"/>
  <c r="T47" i="36"/>
  <c r="T46" i="36"/>
  <c r="T45" i="36"/>
  <c r="T44" i="36"/>
  <c r="T43" i="36"/>
  <c r="T40" i="36"/>
  <c r="T39" i="36"/>
  <c r="T38" i="36"/>
  <c r="T37" i="36"/>
  <c r="T36" i="36"/>
  <c r="T35" i="36"/>
  <c r="T33" i="36"/>
  <c r="T31" i="36"/>
  <c r="T30" i="36"/>
  <c r="T29" i="36"/>
  <c r="T28" i="36"/>
  <c r="T27" i="36"/>
  <c r="T25" i="36"/>
  <c r="T24" i="36"/>
  <c r="T23" i="36"/>
  <c r="T22" i="36"/>
  <c r="T20" i="36"/>
  <c r="T16" i="36"/>
  <c r="T14" i="36"/>
  <c r="T13" i="36"/>
  <c r="T12" i="36"/>
  <c r="T11" i="36"/>
  <c r="S191" i="36"/>
  <c r="S185" i="36"/>
  <c r="S177" i="36"/>
  <c r="P191" i="36"/>
  <c r="O191" i="36"/>
  <c r="P185" i="36"/>
  <c r="O185" i="36"/>
  <c r="P177" i="36"/>
  <c r="O177" i="36"/>
  <c r="P169" i="36"/>
  <c r="O169" i="36"/>
  <c r="P156" i="36"/>
  <c r="O156" i="36"/>
  <c r="P151" i="36"/>
  <c r="O151" i="36"/>
  <c r="P137" i="36"/>
  <c r="O137" i="36"/>
  <c r="O118" i="36"/>
  <c r="P109" i="36"/>
  <c r="O109" i="36"/>
  <c r="P104" i="36"/>
  <c r="O104" i="36"/>
  <c r="P93" i="36"/>
  <c r="O93" i="36"/>
  <c r="P90" i="36"/>
  <c r="O90" i="36"/>
  <c r="P72" i="36"/>
  <c r="O72" i="36"/>
  <c r="P54" i="36"/>
  <c r="O54" i="36"/>
  <c r="P51" i="36"/>
  <c r="O51" i="36"/>
  <c r="P42" i="36"/>
  <c r="O42" i="36"/>
  <c r="P34" i="36"/>
  <c r="O34" i="36"/>
  <c r="P21" i="36"/>
  <c r="O21" i="36"/>
  <c r="J191" i="36"/>
  <c r="I191" i="36"/>
  <c r="J185" i="36"/>
  <c r="I185" i="36"/>
  <c r="J177" i="36"/>
  <c r="I177" i="36"/>
  <c r="J169" i="36"/>
  <c r="I169" i="36"/>
  <c r="J156" i="36"/>
  <c r="I156" i="36"/>
  <c r="J151" i="36"/>
  <c r="I151" i="36"/>
  <c r="J137" i="36"/>
  <c r="I137" i="36"/>
  <c r="J118" i="36"/>
  <c r="I118" i="36"/>
  <c r="J109" i="36"/>
  <c r="I109" i="36"/>
  <c r="J104" i="36"/>
  <c r="I104" i="36"/>
  <c r="J93" i="36"/>
  <c r="I93" i="36"/>
  <c r="J90" i="36"/>
  <c r="I90" i="36"/>
  <c r="J72" i="36"/>
  <c r="I72" i="36"/>
  <c r="J54" i="36"/>
  <c r="I54" i="36"/>
  <c r="J51" i="36"/>
  <c r="I51" i="36"/>
  <c r="J42" i="36"/>
  <c r="I42" i="36"/>
  <c r="J34" i="36"/>
  <c r="I34" i="36"/>
  <c r="J21" i="36"/>
  <c r="I21" i="36"/>
  <c r="M162" i="36"/>
  <c r="M161" i="36"/>
  <c r="M160" i="36"/>
  <c r="F160" i="36"/>
  <c r="M159" i="36"/>
  <c r="F159" i="36"/>
  <c r="M147" i="36"/>
  <c r="M146" i="36"/>
  <c r="M145" i="36"/>
  <c r="F145" i="36"/>
  <c r="M144" i="36"/>
  <c r="F144" i="36"/>
  <c r="M131" i="36"/>
  <c r="F131" i="36"/>
  <c r="M129" i="36"/>
  <c r="F129" i="36"/>
  <c r="F128" i="36"/>
  <c r="M100" i="36"/>
  <c r="M99" i="36"/>
  <c r="M98" i="36"/>
  <c r="F98" i="36"/>
  <c r="M97" i="36"/>
  <c r="F97" i="36"/>
  <c r="M115" i="36"/>
  <c r="M114" i="36"/>
  <c r="M113" i="36"/>
  <c r="F113" i="36"/>
  <c r="M112" i="36"/>
  <c r="F112" i="36"/>
  <c r="M86" i="36"/>
  <c r="F86" i="36"/>
  <c r="M85" i="36"/>
  <c r="M84" i="36"/>
  <c r="F84" i="36"/>
  <c r="M83" i="36"/>
  <c r="F83" i="36"/>
  <c r="M67" i="36"/>
  <c r="F67" i="36"/>
  <c r="M65" i="36"/>
  <c r="F65" i="36"/>
  <c r="M64" i="36"/>
  <c r="F64" i="36"/>
  <c r="M48" i="36"/>
  <c r="F48" i="36"/>
  <c r="M47" i="36"/>
  <c r="M46" i="36"/>
  <c r="F46" i="36"/>
  <c r="M45" i="36"/>
  <c r="F45" i="36"/>
  <c r="M40" i="36"/>
  <c r="F40" i="36"/>
  <c r="M39" i="36"/>
  <c r="M38" i="36"/>
  <c r="F38" i="36"/>
  <c r="C90" i="36"/>
  <c r="C54" i="36"/>
  <c r="C176" i="36"/>
  <c r="C51" i="36"/>
  <c r="C50" i="36" s="1"/>
  <c r="C42" i="36"/>
  <c r="Q191" i="36"/>
  <c r="Q185" i="36"/>
  <c r="Q177" i="36"/>
  <c r="Q169" i="36"/>
  <c r="Q156" i="36"/>
  <c r="Q151" i="36"/>
  <c r="Q137" i="36"/>
  <c r="Q109" i="36"/>
  <c r="Q104" i="36"/>
  <c r="Q93" i="36"/>
  <c r="Q90" i="36"/>
  <c r="Q72" i="36"/>
  <c r="Q54" i="36"/>
  <c r="Q51" i="36"/>
  <c r="Q42" i="36"/>
  <c r="Q21" i="36"/>
  <c r="M20" i="36"/>
  <c r="K191" i="36"/>
  <c r="H191" i="36"/>
  <c r="K185" i="36"/>
  <c r="H185" i="36"/>
  <c r="K177" i="36"/>
  <c r="H177" i="36"/>
  <c r="K169" i="36"/>
  <c r="H169" i="36"/>
  <c r="K156" i="36"/>
  <c r="H156" i="36"/>
  <c r="K151" i="36"/>
  <c r="H151" i="36"/>
  <c r="K137" i="36"/>
  <c r="H137" i="36"/>
  <c r="H118" i="36"/>
  <c r="K109" i="36"/>
  <c r="H109" i="36"/>
  <c r="K104" i="36"/>
  <c r="H104" i="36"/>
  <c r="K93" i="36"/>
  <c r="H93" i="36"/>
  <c r="K90" i="36"/>
  <c r="H90" i="36"/>
  <c r="K72" i="36"/>
  <c r="H72" i="36"/>
  <c r="K54" i="36"/>
  <c r="H54" i="36"/>
  <c r="K51" i="36"/>
  <c r="H51" i="36"/>
  <c r="K42" i="36"/>
  <c r="H42" i="36"/>
  <c r="K34" i="36"/>
  <c r="H34" i="36"/>
  <c r="K21" i="36"/>
  <c r="H21" i="36"/>
  <c r="M214" i="36"/>
  <c r="M213" i="36"/>
  <c r="M193" i="36"/>
  <c r="M192" i="36"/>
  <c r="M190" i="36"/>
  <c r="M189" i="36"/>
  <c r="M188" i="36"/>
  <c r="M187" i="36"/>
  <c r="M186" i="36"/>
  <c r="M184" i="36"/>
  <c r="M183" i="36"/>
  <c r="M182" i="36"/>
  <c r="M181" i="36"/>
  <c r="M180" i="36"/>
  <c r="M179" i="36"/>
  <c r="M178" i="36"/>
  <c r="M175" i="36"/>
  <c r="M173" i="36"/>
  <c r="M172" i="36"/>
  <c r="M171" i="36"/>
  <c r="M170" i="36"/>
  <c r="M168" i="36"/>
  <c r="M167" i="36"/>
  <c r="M166" i="36"/>
  <c r="M165" i="36"/>
  <c r="M164" i="36"/>
  <c r="M163" i="36"/>
  <c r="M158" i="36"/>
  <c r="M157" i="36"/>
  <c r="M155" i="36"/>
  <c r="M154" i="36"/>
  <c r="M153" i="36"/>
  <c r="M150" i="36"/>
  <c r="M149" i="36"/>
  <c r="M148" i="36"/>
  <c r="M143" i="36"/>
  <c r="M142" i="36"/>
  <c r="M140" i="36"/>
  <c r="M136" i="36"/>
  <c r="M135" i="36"/>
  <c r="M134" i="36"/>
  <c r="M133" i="36"/>
  <c r="M132" i="36"/>
  <c r="M127" i="36"/>
  <c r="M126" i="36"/>
  <c r="M125" i="36"/>
  <c r="M124" i="36"/>
  <c r="M120" i="36"/>
  <c r="M117" i="36"/>
  <c r="M116" i="36"/>
  <c r="M111" i="36"/>
  <c r="M110" i="36"/>
  <c r="M108" i="36"/>
  <c r="M107" i="36"/>
  <c r="M106" i="36"/>
  <c r="M105" i="36"/>
  <c r="M103" i="36"/>
  <c r="M102" i="36"/>
  <c r="M101" i="36"/>
  <c r="M96" i="36"/>
  <c r="M94" i="36"/>
  <c r="M92" i="36"/>
  <c r="M91" i="36"/>
  <c r="M89" i="36"/>
  <c r="M88" i="36"/>
  <c r="M87" i="36"/>
  <c r="M82" i="36"/>
  <c r="M81" i="36"/>
  <c r="M80" i="36"/>
  <c r="M79" i="36"/>
  <c r="M78" i="36"/>
  <c r="M77" i="36"/>
  <c r="M75" i="36"/>
  <c r="M74" i="36"/>
  <c r="M73" i="36"/>
  <c r="M71" i="36"/>
  <c r="M70" i="36"/>
  <c r="M69" i="36"/>
  <c r="M68" i="36"/>
  <c r="M63" i="36"/>
  <c r="M62" i="36"/>
  <c r="M61" i="36"/>
  <c r="M60" i="36"/>
  <c r="M59" i="36"/>
  <c r="M58" i="36"/>
  <c r="M57" i="36"/>
  <c r="M56" i="36"/>
  <c r="M55" i="36"/>
  <c r="M53" i="36"/>
  <c r="M52" i="36"/>
  <c r="M49" i="36"/>
  <c r="M44" i="36"/>
  <c r="M43" i="36"/>
  <c r="M41" i="36"/>
  <c r="M37" i="36"/>
  <c r="M35" i="36"/>
  <c r="M33" i="36"/>
  <c r="M31" i="36"/>
  <c r="M30" i="36"/>
  <c r="M29" i="36"/>
  <c r="M28" i="36"/>
  <c r="M27" i="36"/>
  <c r="M26" i="36"/>
  <c r="M25" i="36"/>
  <c r="M24" i="36"/>
  <c r="E23" i="25" s="1"/>
  <c r="M23" i="36"/>
  <c r="M22" i="36"/>
  <c r="M19" i="36"/>
  <c r="M18" i="36"/>
  <c r="M17" i="36"/>
  <c r="M14" i="36"/>
  <c r="L14" i="36" s="1"/>
  <c r="M13" i="36"/>
  <c r="M12" i="36"/>
  <c r="F215" i="36"/>
  <c r="F213" i="36"/>
  <c r="F193" i="36"/>
  <c r="F192" i="36"/>
  <c r="F190" i="36"/>
  <c r="F189" i="36"/>
  <c r="F188" i="36"/>
  <c r="F187" i="36"/>
  <c r="F186" i="36"/>
  <c r="F184" i="36"/>
  <c r="F183" i="36"/>
  <c r="F182" i="36"/>
  <c r="F181" i="36"/>
  <c r="F180" i="36"/>
  <c r="F179" i="36"/>
  <c r="F178" i="36"/>
  <c r="F173" i="36"/>
  <c r="F172" i="36"/>
  <c r="F171" i="36"/>
  <c r="F170" i="36"/>
  <c r="F168" i="36"/>
  <c r="F166" i="36"/>
  <c r="F165" i="36"/>
  <c r="F163" i="36"/>
  <c r="F158" i="36"/>
  <c r="F157" i="36"/>
  <c r="F155" i="36"/>
  <c r="F154" i="36"/>
  <c r="F153" i="36"/>
  <c r="F152" i="36"/>
  <c r="F150" i="36"/>
  <c r="F149" i="36"/>
  <c r="F148" i="36"/>
  <c r="F143" i="36"/>
  <c r="F142" i="36"/>
  <c r="F141" i="36"/>
  <c r="F140" i="36"/>
  <c r="F139" i="36"/>
  <c r="F138" i="36"/>
  <c r="F136" i="36"/>
  <c r="F135" i="36"/>
  <c r="F133" i="36"/>
  <c r="F132" i="36"/>
  <c r="F127" i="36"/>
  <c r="F126" i="36"/>
  <c r="F125" i="36"/>
  <c r="F124" i="36"/>
  <c r="F122" i="36"/>
  <c r="F121" i="36"/>
  <c r="F120" i="36"/>
  <c r="F119" i="36"/>
  <c r="F116" i="36"/>
  <c r="F111" i="36"/>
  <c r="F110" i="36"/>
  <c r="F108" i="36"/>
  <c r="F107" i="36"/>
  <c r="F106" i="36"/>
  <c r="F102" i="36"/>
  <c r="F101" i="36"/>
  <c r="F96" i="36"/>
  <c r="F94" i="36"/>
  <c r="F91" i="36"/>
  <c r="F88" i="36"/>
  <c r="F82" i="36"/>
  <c r="F81" i="36"/>
  <c r="F80" i="36"/>
  <c r="F79" i="36"/>
  <c r="F78" i="36"/>
  <c r="F77" i="36"/>
  <c r="F75" i="36"/>
  <c r="F74" i="36"/>
  <c r="F73" i="36"/>
  <c r="F71" i="36"/>
  <c r="F70" i="36"/>
  <c r="F68" i="36"/>
  <c r="F63" i="36"/>
  <c r="F62" i="36"/>
  <c r="F61" i="36"/>
  <c r="F60" i="36"/>
  <c r="F59" i="36"/>
  <c r="F58" i="36"/>
  <c r="F56" i="36"/>
  <c r="F55" i="36"/>
  <c r="F53" i="36"/>
  <c r="F52" i="36"/>
  <c r="F49" i="36"/>
  <c r="F44" i="36"/>
  <c r="F43" i="36"/>
  <c r="F37" i="36"/>
  <c r="F36" i="36"/>
  <c r="F35" i="36"/>
  <c r="F33" i="36"/>
  <c r="F31" i="36"/>
  <c r="F29" i="36"/>
  <c r="F28" i="36"/>
  <c r="F25" i="36"/>
  <c r="F23" i="36"/>
  <c r="F22" i="36"/>
  <c r="F19" i="36"/>
  <c r="F18" i="36"/>
  <c r="F17" i="36"/>
  <c r="F13" i="36"/>
  <c r="F12" i="36"/>
  <c r="S176" i="36" l="1"/>
  <c r="L26" i="36"/>
  <c r="F26" i="36" s="1"/>
  <c r="D20" i="25" s="1"/>
  <c r="E20" i="25"/>
  <c r="W177" i="36"/>
  <c r="L24" i="36"/>
  <c r="F14" i="36"/>
  <c r="D58" i="25" s="1"/>
  <c r="U40" i="36"/>
  <c r="U99" i="36"/>
  <c r="I50" i="36"/>
  <c r="U146" i="36"/>
  <c r="U181" i="36"/>
  <c r="U189" i="36"/>
  <c r="U33" i="36"/>
  <c r="U66" i="36"/>
  <c r="U11" i="36"/>
  <c r="X14" i="36"/>
  <c r="X17" i="36"/>
  <c r="X19" i="36"/>
  <c r="X22" i="36"/>
  <c r="X24" i="36"/>
  <c r="X26" i="36"/>
  <c r="X71" i="36"/>
  <c r="X74" i="36"/>
  <c r="X76" i="36"/>
  <c r="X78" i="36"/>
  <c r="X80" i="36"/>
  <c r="X82" i="36"/>
  <c r="X84" i="36"/>
  <c r="W104" i="36"/>
  <c r="X116" i="36"/>
  <c r="X119" i="36"/>
  <c r="X121" i="36"/>
  <c r="X123" i="36"/>
  <c r="X125" i="36"/>
  <c r="X127" i="36"/>
  <c r="X129" i="36"/>
  <c r="X132" i="36"/>
  <c r="X134" i="36"/>
  <c r="X136" i="36"/>
  <c r="X139" i="36"/>
  <c r="X141" i="36"/>
  <c r="X143" i="36"/>
  <c r="X145" i="36"/>
  <c r="X148" i="36"/>
  <c r="X150" i="36"/>
  <c r="X158" i="36"/>
  <c r="X160" i="36"/>
  <c r="X163" i="36"/>
  <c r="X165" i="36"/>
  <c r="X167" i="36"/>
  <c r="U193" i="36"/>
  <c r="U48" i="36"/>
  <c r="W34" i="36"/>
  <c r="M121" i="36"/>
  <c r="M141" i="36"/>
  <c r="E141" i="36" s="1"/>
  <c r="U46" i="36"/>
  <c r="U113" i="36"/>
  <c r="X13" i="36"/>
  <c r="X16" i="36"/>
  <c r="X18" i="36"/>
  <c r="X20" i="36"/>
  <c r="X23" i="36"/>
  <c r="X25" i="36"/>
  <c r="X70" i="36"/>
  <c r="X73" i="36"/>
  <c r="X75" i="36"/>
  <c r="X77" i="36"/>
  <c r="X79" i="36"/>
  <c r="X81" i="36"/>
  <c r="X83" i="36"/>
  <c r="X117" i="36"/>
  <c r="X120" i="36"/>
  <c r="X122" i="36"/>
  <c r="X124" i="36"/>
  <c r="X126" i="36"/>
  <c r="X128" i="36"/>
  <c r="X131" i="36"/>
  <c r="X133" i="36"/>
  <c r="X135" i="36"/>
  <c r="X138" i="36"/>
  <c r="X140" i="36"/>
  <c r="X142" i="36"/>
  <c r="X144" i="36"/>
  <c r="X149" i="36"/>
  <c r="X157" i="36"/>
  <c r="X159" i="36"/>
  <c r="X164" i="36"/>
  <c r="X166" i="36"/>
  <c r="X168" i="36"/>
  <c r="X177" i="36"/>
  <c r="E22" i="36"/>
  <c r="E77" i="36"/>
  <c r="D68" i="25"/>
  <c r="D43" i="25"/>
  <c r="E58" i="25"/>
  <c r="E63" i="25"/>
  <c r="E29" i="36"/>
  <c r="D62" i="25"/>
  <c r="D66" i="25"/>
  <c r="E57" i="25"/>
  <c r="E33" i="36"/>
  <c r="L87" i="36"/>
  <c r="E44" i="25"/>
  <c r="E65" i="25"/>
  <c r="E76" i="25"/>
  <c r="E77" i="25"/>
  <c r="I15" i="36"/>
  <c r="T42" i="36"/>
  <c r="I176" i="36"/>
  <c r="T10" i="36"/>
  <c r="U145" i="36"/>
  <c r="U180" i="36"/>
  <c r="U188" i="36"/>
  <c r="L47" i="36"/>
  <c r="X69" i="36"/>
  <c r="X87" i="36"/>
  <c r="X115" i="36"/>
  <c r="X147" i="36"/>
  <c r="E35" i="36"/>
  <c r="E44" i="36"/>
  <c r="E59" i="36"/>
  <c r="E63" i="36"/>
  <c r="E78" i="36"/>
  <c r="E140" i="36"/>
  <c r="E181" i="36"/>
  <c r="D65" i="25"/>
  <c r="E186" i="36"/>
  <c r="D76" i="25"/>
  <c r="E23" i="36"/>
  <c r="L57" i="36"/>
  <c r="L69" i="36"/>
  <c r="L134" i="36"/>
  <c r="F134" i="36" s="1"/>
  <c r="E64" i="25"/>
  <c r="E68" i="25"/>
  <c r="H50" i="36"/>
  <c r="E45" i="36"/>
  <c r="E48" i="36"/>
  <c r="E84" i="36"/>
  <c r="L162" i="36"/>
  <c r="P15" i="36"/>
  <c r="U147" i="36"/>
  <c r="U182" i="36"/>
  <c r="U190" i="36"/>
  <c r="X146" i="36"/>
  <c r="X27" i="36"/>
  <c r="V9" i="36"/>
  <c r="O50" i="36"/>
  <c r="T51" i="36"/>
  <c r="T104" i="36"/>
  <c r="T137" i="36"/>
  <c r="T156" i="36"/>
  <c r="T169" i="36"/>
  <c r="T191" i="36"/>
  <c r="U39" i="36"/>
  <c r="U84" i="36"/>
  <c r="U115" i="36"/>
  <c r="W156" i="36"/>
  <c r="W185" i="36"/>
  <c r="W191" i="36"/>
  <c r="J50" i="36"/>
  <c r="U14" i="36"/>
  <c r="T54" i="36"/>
  <c r="T151" i="36"/>
  <c r="U162" i="36"/>
  <c r="T177" i="36"/>
  <c r="U179" i="36"/>
  <c r="T185" i="36"/>
  <c r="U187" i="36"/>
  <c r="U13" i="36"/>
  <c r="U38" i="36"/>
  <c r="U47" i="36"/>
  <c r="U67" i="36"/>
  <c r="U98" i="36"/>
  <c r="U114" i="36"/>
  <c r="U131" i="36"/>
  <c r="S10" i="36"/>
  <c r="X28" i="36"/>
  <c r="X30" i="36"/>
  <c r="X33" i="36"/>
  <c r="W54" i="36"/>
  <c r="W66" i="36"/>
  <c r="X66" i="36" s="1"/>
  <c r="X68" i="36"/>
  <c r="X86" i="36"/>
  <c r="X91" i="36"/>
  <c r="X94" i="36"/>
  <c r="X96" i="36"/>
  <c r="X98" i="36"/>
  <c r="X101" i="36"/>
  <c r="X103" i="36"/>
  <c r="X105" i="36"/>
  <c r="X107" i="36"/>
  <c r="X110" i="36"/>
  <c r="X112" i="36"/>
  <c r="X114" i="36"/>
  <c r="W151" i="36"/>
  <c r="X153" i="36"/>
  <c r="X155" i="36"/>
  <c r="W169" i="36"/>
  <c r="X171" i="36"/>
  <c r="X173" i="36"/>
  <c r="X178" i="36"/>
  <c r="X180" i="36"/>
  <c r="X182" i="36"/>
  <c r="X184" i="36"/>
  <c r="X186" i="36"/>
  <c r="X188" i="36"/>
  <c r="X190" i="36"/>
  <c r="X192" i="36"/>
  <c r="X213" i="36"/>
  <c r="V118" i="36"/>
  <c r="E13" i="36"/>
  <c r="E152" i="36"/>
  <c r="E166" i="36"/>
  <c r="D64" i="25"/>
  <c r="E26" i="25"/>
  <c r="E96" i="36"/>
  <c r="E67" i="25"/>
  <c r="K15" i="36"/>
  <c r="H176" i="36"/>
  <c r="E113" i="36"/>
  <c r="L100" i="36"/>
  <c r="I32" i="36"/>
  <c r="O15" i="36"/>
  <c r="W137" i="36"/>
  <c r="P176" i="36"/>
  <c r="U184" i="36"/>
  <c r="U192" i="36"/>
  <c r="X162" i="36"/>
  <c r="Z34" i="36"/>
  <c r="V50" i="36"/>
  <c r="W130" i="36"/>
  <c r="D57" i="25"/>
  <c r="E19" i="36"/>
  <c r="D19" i="25"/>
  <c r="E31" i="36"/>
  <c r="E61" i="36"/>
  <c r="E80" i="36"/>
  <c r="E101" i="36"/>
  <c r="E142" i="36"/>
  <c r="E165" i="36"/>
  <c r="D63" i="25"/>
  <c r="D67" i="25"/>
  <c r="E19" i="25"/>
  <c r="E94" i="36"/>
  <c r="E143" i="36"/>
  <c r="E62" i="25"/>
  <c r="E66" i="25"/>
  <c r="H15" i="36"/>
  <c r="E38" i="36"/>
  <c r="L147" i="36"/>
  <c r="E160" i="36"/>
  <c r="J15" i="36"/>
  <c r="W21" i="36"/>
  <c r="W42" i="36"/>
  <c r="W72" i="36"/>
  <c r="W93" i="36"/>
  <c r="J176" i="36"/>
  <c r="O176" i="36"/>
  <c r="U161" i="36"/>
  <c r="U178" i="36"/>
  <c r="U186" i="36"/>
  <c r="X100" i="36"/>
  <c r="X85" i="36"/>
  <c r="X151" i="36"/>
  <c r="T21" i="36"/>
  <c r="T90" i="36"/>
  <c r="U86" i="36"/>
  <c r="X99" i="36"/>
  <c r="L39" i="36"/>
  <c r="M76" i="36"/>
  <c r="M66" i="36"/>
  <c r="P50" i="36"/>
  <c r="T34" i="36"/>
  <c r="T72" i="36"/>
  <c r="T93" i="36"/>
  <c r="T109" i="36"/>
  <c r="T118" i="36"/>
  <c r="U183" i="36"/>
  <c r="U65" i="36"/>
  <c r="U85" i="36"/>
  <c r="U100" i="36"/>
  <c r="U129" i="36"/>
  <c r="X11" i="36"/>
  <c r="X29" i="36"/>
  <c r="X31" i="36"/>
  <c r="W51" i="36"/>
  <c r="X67" i="36"/>
  <c r="W90" i="36"/>
  <c r="X92" i="36"/>
  <c r="X95" i="36"/>
  <c r="X97" i="36"/>
  <c r="X102" i="36"/>
  <c r="X106" i="36"/>
  <c r="X108" i="36"/>
  <c r="X111" i="36"/>
  <c r="X113" i="36"/>
  <c r="X152" i="36"/>
  <c r="X154" i="36"/>
  <c r="X170" i="36"/>
  <c r="X172" i="36"/>
  <c r="X175" i="36"/>
  <c r="X179" i="36"/>
  <c r="X181" i="36"/>
  <c r="X183" i="36"/>
  <c r="X187" i="36"/>
  <c r="X189" i="36"/>
  <c r="X193" i="36"/>
  <c r="X215" i="36"/>
  <c r="E49" i="36"/>
  <c r="E148" i="36"/>
  <c r="E150" i="36"/>
  <c r="E71" i="36"/>
  <c r="E68" i="36"/>
  <c r="E82" i="36"/>
  <c r="E74" i="36"/>
  <c r="E73" i="36"/>
  <c r="E56" i="36"/>
  <c r="J32" i="36"/>
  <c r="E60" i="36"/>
  <c r="E170" i="36"/>
  <c r="E139" i="36"/>
  <c r="E52" i="36"/>
  <c r="X12" i="36"/>
  <c r="F147" i="36"/>
  <c r="E49" i="23"/>
  <c r="E37" i="36"/>
  <c r="E173" i="36"/>
  <c r="E126" i="36"/>
  <c r="E172" i="36"/>
  <c r="E213" i="36"/>
  <c r="E121" i="36"/>
  <c r="E153" i="36"/>
  <c r="E110" i="36"/>
  <c r="E125" i="36"/>
  <c r="E133" i="36"/>
  <c r="E155" i="36"/>
  <c r="E171" i="36"/>
  <c r="E112" i="36"/>
  <c r="L115" i="36"/>
  <c r="E117" i="36"/>
  <c r="E108" i="36"/>
  <c r="E132" i="36"/>
  <c r="E122" i="36"/>
  <c r="E127" i="36"/>
  <c r="E135" i="36"/>
  <c r="E168" i="36"/>
  <c r="E89" i="36"/>
  <c r="E88" i="36"/>
  <c r="E124" i="36"/>
  <c r="E136" i="36"/>
  <c r="E167" i="36"/>
  <c r="U12" i="36"/>
  <c r="E158" i="36"/>
  <c r="X93" i="36"/>
  <c r="W109" i="36"/>
  <c r="X109" i="36" s="1"/>
  <c r="E91" i="36"/>
  <c r="X161" i="36"/>
  <c r="E157" i="36"/>
  <c r="E26" i="36"/>
  <c r="E25" i="36"/>
  <c r="X137" i="36"/>
  <c r="E190" i="36"/>
  <c r="E120" i="36"/>
  <c r="E81" i="36"/>
  <c r="X42" i="36"/>
  <c r="W214" i="36"/>
  <c r="E55" i="36"/>
  <c r="Q118" i="36"/>
  <c r="M130" i="36"/>
  <c r="P118" i="36"/>
  <c r="E144" i="36"/>
  <c r="E83" i="36"/>
  <c r="E18" i="36"/>
  <c r="E116" i="36"/>
  <c r="E179" i="36"/>
  <c r="E188" i="36"/>
  <c r="E215" i="36"/>
  <c r="E17" i="36"/>
  <c r="E28" i="36"/>
  <c r="E106" i="36"/>
  <c r="E111" i="36"/>
  <c r="E178" i="36"/>
  <c r="E182" i="36"/>
  <c r="E187" i="36"/>
  <c r="E192" i="36"/>
  <c r="E65" i="36"/>
  <c r="E98" i="36"/>
  <c r="E159" i="36"/>
  <c r="E12" i="36"/>
  <c r="E107" i="36"/>
  <c r="E183" i="36"/>
  <c r="E193" i="36"/>
  <c r="E129" i="36"/>
  <c r="E43" i="36"/>
  <c r="E53" i="36"/>
  <c r="E58" i="36"/>
  <c r="E62" i="36"/>
  <c r="E70" i="36"/>
  <c r="E75" i="36"/>
  <c r="E79" i="36"/>
  <c r="E92" i="36"/>
  <c r="E102" i="36"/>
  <c r="E149" i="36"/>
  <c r="E154" i="36"/>
  <c r="E163" i="36"/>
  <c r="E46" i="36"/>
  <c r="E180" i="36"/>
  <c r="E184" i="36"/>
  <c r="E189" i="36"/>
  <c r="E145" i="36"/>
  <c r="Q176" i="36"/>
  <c r="E64" i="36"/>
  <c r="E86" i="36"/>
  <c r="E128" i="36"/>
  <c r="E40" i="36"/>
  <c r="E67" i="36"/>
  <c r="E97" i="36"/>
  <c r="E131" i="36"/>
  <c r="K50" i="36"/>
  <c r="K176" i="36"/>
  <c r="Q34" i="36"/>
  <c r="M36" i="36"/>
  <c r="Q50" i="36"/>
  <c r="M95" i="36"/>
  <c r="Q15" i="36"/>
  <c r="K118" i="36"/>
  <c r="D56" i="25" l="1"/>
  <c r="E56" i="25"/>
  <c r="F24" i="36"/>
  <c r="E14" i="36"/>
  <c r="C57" i="25"/>
  <c r="W50" i="36"/>
  <c r="X104" i="36"/>
  <c r="X72" i="36"/>
  <c r="C62" i="25"/>
  <c r="X34" i="36"/>
  <c r="C20" i="25"/>
  <c r="C58" i="25"/>
  <c r="C76" i="25"/>
  <c r="C68" i="25"/>
  <c r="C19" i="25"/>
  <c r="C63" i="25"/>
  <c r="E61" i="25"/>
  <c r="C65" i="25"/>
  <c r="C66" i="25"/>
  <c r="E134" i="36"/>
  <c r="Q10" i="36"/>
  <c r="W118" i="36"/>
  <c r="D19" i="23"/>
  <c r="E147" i="36"/>
  <c r="J10" i="36"/>
  <c r="W15" i="36"/>
  <c r="H10" i="36"/>
  <c r="D20" i="23"/>
  <c r="E22" i="25"/>
  <c r="C22" i="25" s="1"/>
  <c r="D18" i="23"/>
  <c r="U10" i="36"/>
  <c r="L99" i="36"/>
  <c r="X21" i="36"/>
  <c r="X130" i="36"/>
  <c r="X54" i="36"/>
  <c r="X191" i="36"/>
  <c r="L146" i="36"/>
  <c r="P10" i="36"/>
  <c r="F69" i="36"/>
  <c r="T176" i="36"/>
  <c r="I10" i="36"/>
  <c r="T15" i="36"/>
  <c r="Q32" i="36"/>
  <c r="X51" i="36"/>
  <c r="F39" i="36"/>
  <c r="L85" i="36"/>
  <c r="K10" i="36"/>
  <c r="U177" i="36"/>
  <c r="F87" i="36"/>
  <c r="C44" i="26"/>
  <c r="C43" i="25"/>
  <c r="P32" i="36"/>
  <c r="W32" i="36" s="1"/>
  <c r="V32" i="36"/>
  <c r="F162" i="36"/>
  <c r="U191" i="36"/>
  <c r="C64" i="25"/>
  <c r="F47" i="36"/>
  <c r="X118" i="36"/>
  <c r="T50" i="36"/>
  <c r="U185" i="36"/>
  <c r="X90" i="36"/>
  <c r="H32" i="36"/>
  <c r="D61" i="25"/>
  <c r="E36" i="36"/>
  <c r="D17" i="23"/>
  <c r="E21" i="25"/>
  <c r="C21" i="25" s="1"/>
  <c r="X214" i="36"/>
  <c r="L161" i="36"/>
  <c r="L114" i="36"/>
  <c r="F57" i="36"/>
  <c r="W176" i="36"/>
  <c r="O10" i="36"/>
  <c r="F100" i="36"/>
  <c r="X185" i="36"/>
  <c r="X156" i="36"/>
  <c r="C67" i="25"/>
  <c r="X169" i="36"/>
  <c r="O32" i="36"/>
  <c r="K32" i="36"/>
  <c r="L66" i="36"/>
  <c r="F115" i="36"/>
  <c r="D16" i="32"/>
  <c r="E16" i="32" l="1"/>
  <c r="F16" i="32"/>
  <c r="D16" i="33"/>
  <c r="E24" i="36"/>
  <c r="C61" i="25"/>
  <c r="X50" i="36"/>
  <c r="E115" i="36"/>
  <c r="E47" i="36"/>
  <c r="E87" i="36"/>
  <c r="I9" i="36"/>
  <c r="F146" i="36"/>
  <c r="L137" i="36"/>
  <c r="E20" i="23"/>
  <c r="F20" i="23"/>
  <c r="J9" i="36"/>
  <c r="Q9" i="36"/>
  <c r="E57" i="36"/>
  <c r="F114" i="36"/>
  <c r="F85" i="36"/>
  <c r="L72" i="36"/>
  <c r="U15" i="36"/>
  <c r="P9" i="36"/>
  <c r="L130" i="36"/>
  <c r="X15" i="36"/>
  <c r="W10" i="36"/>
  <c r="F161" i="36"/>
  <c r="F17" i="23"/>
  <c r="E17" i="23"/>
  <c r="K9" i="36"/>
  <c r="E39" i="36"/>
  <c r="U176" i="36"/>
  <c r="F99" i="36"/>
  <c r="E18" i="23"/>
  <c r="F18" i="23"/>
  <c r="H9" i="36"/>
  <c r="V8" i="36"/>
  <c r="J8" i="23" s="1"/>
  <c r="T32" i="36"/>
  <c r="X176" i="36"/>
  <c r="F41" i="36"/>
  <c r="E69" i="36"/>
  <c r="O9" i="36"/>
  <c r="L214" i="36"/>
  <c r="E162" i="36"/>
  <c r="L21" i="36"/>
  <c r="F19" i="23"/>
  <c r="E19" i="23"/>
  <c r="L109" i="36"/>
  <c r="X32" i="36"/>
  <c r="F66" i="36"/>
  <c r="C77" i="25"/>
  <c r="C47" i="26"/>
  <c r="E73" i="23"/>
  <c r="C56" i="25"/>
  <c r="F16" i="33" l="1"/>
  <c r="G16" i="32"/>
  <c r="G16" i="33" s="1"/>
  <c r="K8" i="36"/>
  <c r="E41" i="36"/>
  <c r="H8" i="36"/>
  <c r="E99" i="36"/>
  <c r="W9" i="36"/>
  <c r="E146" i="36"/>
  <c r="F214" i="36"/>
  <c r="E161" i="36"/>
  <c r="F130" i="36"/>
  <c r="L118" i="36"/>
  <c r="E85" i="36"/>
  <c r="J8" i="36"/>
  <c r="Z35" i="36"/>
  <c r="Z36" i="36" s="1"/>
  <c r="G15" i="34"/>
  <c r="I48" i="23"/>
  <c r="I49" i="23" s="1"/>
  <c r="Z8" i="36"/>
  <c r="X10" i="36"/>
  <c r="E114" i="36"/>
  <c r="T9" i="36"/>
  <c r="I8" i="36"/>
  <c r="E42" i="36"/>
  <c r="E66" i="36"/>
  <c r="M138" i="36"/>
  <c r="R169" i="36"/>
  <c r="N169" i="36"/>
  <c r="G169" i="36"/>
  <c r="R156" i="36"/>
  <c r="R151" i="36"/>
  <c r="N151" i="36"/>
  <c r="L151" i="36"/>
  <c r="R137" i="36"/>
  <c r="R118" i="36"/>
  <c r="R109" i="36"/>
  <c r="N109" i="36"/>
  <c r="R104" i="36"/>
  <c r="N104" i="36"/>
  <c r="L104" i="36"/>
  <c r="R93" i="36"/>
  <c r="N93" i="36"/>
  <c r="R72" i="36"/>
  <c r="N72" i="36"/>
  <c r="G72" i="36"/>
  <c r="R42" i="36"/>
  <c r="G42" i="36"/>
  <c r="R34" i="36"/>
  <c r="N34" i="36"/>
  <c r="R191" i="36"/>
  <c r="N191" i="36"/>
  <c r="L191" i="36"/>
  <c r="G191" i="36"/>
  <c r="R185" i="36"/>
  <c r="N185" i="36"/>
  <c r="L185" i="36"/>
  <c r="G185" i="36"/>
  <c r="R177" i="36"/>
  <c r="N177" i="36"/>
  <c r="L177" i="36"/>
  <c r="G177" i="36"/>
  <c r="L175" i="36"/>
  <c r="L169" i="36"/>
  <c r="L164" i="36"/>
  <c r="G137" i="36"/>
  <c r="M123" i="36"/>
  <c r="F123" i="36"/>
  <c r="F95" i="36"/>
  <c r="R90" i="36"/>
  <c r="N90" i="36"/>
  <c r="G54" i="36"/>
  <c r="R54" i="36"/>
  <c r="N54" i="36"/>
  <c r="L54" i="36"/>
  <c r="R51" i="36"/>
  <c r="L51" i="36"/>
  <c r="L42" i="36"/>
  <c r="N42" i="36"/>
  <c r="L34" i="36"/>
  <c r="G30" i="36"/>
  <c r="L27" i="36"/>
  <c r="R21" i="36"/>
  <c r="N21" i="36"/>
  <c r="G21" i="36"/>
  <c r="G20" i="36"/>
  <c r="R16" i="36"/>
  <c r="N16" i="36"/>
  <c r="L16" i="36"/>
  <c r="N11" i="36"/>
  <c r="F42" i="35"/>
  <c r="E42" i="35" s="1"/>
  <c r="J42" i="35"/>
  <c r="M42" i="35"/>
  <c r="T42" i="35"/>
  <c r="U42" i="35"/>
  <c r="V42" i="35"/>
  <c r="W42" i="35"/>
  <c r="W41" i="35" s="1"/>
  <c r="X42" i="35"/>
  <c r="Y42" i="35"/>
  <c r="AA42" i="35"/>
  <c r="AB42" i="35"/>
  <c r="AB41" i="35" s="1"/>
  <c r="AC42" i="35"/>
  <c r="AG42" i="35"/>
  <c r="AG41" i="35" s="1"/>
  <c r="AH42" i="35"/>
  <c r="AI42" i="35"/>
  <c r="AJ42" i="35"/>
  <c r="AJ41" i="35" s="1"/>
  <c r="AK42" i="35"/>
  <c r="AM42" i="35"/>
  <c r="AN42" i="35"/>
  <c r="AN41" i="35" s="1"/>
  <c r="AO42" i="35"/>
  <c r="AO41" i="35" s="1"/>
  <c r="AP42" i="35"/>
  <c r="AT8" i="35"/>
  <c r="AN134" i="35"/>
  <c r="AF134" i="35" s="1"/>
  <c r="AN125" i="35"/>
  <c r="AL125" i="35" s="1"/>
  <c r="AN121" i="35"/>
  <c r="AL121" i="35" s="1"/>
  <c r="AL190" i="35"/>
  <c r="AL196" i="35"/>
  <c r="O137" i="35"/>
  <c r="N137" i="35" s="1"/>
  <c r="O138" i="35"/>
  <c r="P138" i="35" s="1"/>
  <c r="AL138" i="35"/>
  <c r="AF138" i="35"/>
  <c r="AE138" i="35"/>
  <c r="Z138" i="35"/>
  <c r="S138" i="35"/>
  <c r="R138" i="35"/>
  <c r="L138" i="35"/>
  <c r="K138" i="35" s="1"/>
  <c r="H138" i="35"/>
  <c r="E138" i="35"/>
  <c r="G135" i="35"/>
  <c r="G56" i="35"/>
  <c r="AP35" i="35"/>
  <c r="AP34" i="35" s="1"/>
  <c r="AO35" i="35"/>
  <c r="AO34" i="35" s="1"/>
  <c r="AN35" i="35"/>
  <c r="AN34" i="35" s="1"/>
  <c r="AM35" i="35"/>
  <c r="AM34" i="35" s="1"/>
  <c r="AK35" i="35"/>
  <c r="AJ35" i="35"/>
  <c r="AJ34" i="35" s="1"/>
  <c r="AI35" i="35"/>
  <c r="AH35" i="35"/>
  <c r="AG35" i="35"/>
  <c r="AG34" i="35" s="1"/>
  <c r="AC35" i="35"/>
  <c r="AC34" i="35" s="1"/>
  <c r="AB35" i="35"/>
  <c r="AA35" i="35"/>
  <c r="AA34" i="35" s="1"/>
  <c r="Y35" i="35"/>
  <c r="Y34" i="35" s="1"/>
  <c r="X35" i="35"/>
  <c r="W35" i="35"/>
  <c r="V35" i="35"/>
  <c r="V34" i="35" s="1"/>
  <c r="U35" i="35"/>
  <c r="U34" i="35" s="1"/>
  <c r="T35" i="35"/>
  <c r="P35" i="35"/>
  <c r="M35" i="35"/>
  <c r="M34" i="35" s="1"/>
  <c r="J35" i="35"/>
  <c r="J34" i="35" s="1"/>
  <c r="I35" i="35"/>
  <c r="G35" i="35"/>
  <c r="AL38" i="35"/>
  <c r="AF38" i="35"/>
  <c r="AE38" i="35"/>
  <c r="Z38" i="35"/>
  <c r="S38" i="35"/>
  <c r="Q38" i="35" s="1"/>
  <c r="R38" i="35"/>
  <c r="O38" i="35"/>
  <c r="L38" i="35"/>
  <c r="K38" i="35" s="1"/>
  <c r="H38" i="35"/>
  <c r="E38" i="35"/>
  <c r="AL124" i="35"/>
  <c r="AF124" i="35"/>
  <c r="AE124" i="35"/>
  <c r="Z124" i="35"/>
  <c r="S124" i="35"/>
  <c r="R124" i="35"/>
  <c r="O124" i="35"/>
  <c r="P124" i="35" s="1"/>
  <c r="L124" i="35"/>
  <c r="K124" i="35" s="1"/>
  <c r="H124" i="35"/>
  <c r="E124" i="35"/>
  <c r="AL76" i="35"/>
  <c r="AF76" i="35"/>
  <c r="AE76" i="35"/>
  <c r="Z76" i="35"/>
  <c r="S76" i="35"/>
  <c r="R76" i="35"/>
  <c r="O76" i="35"/>
  <c r="P76" i="35" s="1"/>
  <c r="L76" i="35"/>
  <c r="K76" i="35" s="1"/>
  <c r="H76" i="35"/>
  <c r="E76" i="35"/>
  <c r="M71" i="35"/>
  <c r="L73" i="35"/>
  <c r="K73" i="35" s="1"/>
  <c r="AL122" i="35"/>
  <c r="AF122" i="35"/>
  <c r="AE122" i="35"/>
  <c r="Z122" i="35"/>
  <c r="S122" i="35"/>
  <c r="R122" i="35"/>
  <c r="O122" i="35"/>
  <c r="P122" i="35" s="1"/>
  <c r="L122" i="35"/>
  <c r="K122" i="35" s="1"/>
  <c r="H122" i="35"/>
  <c r="E122" i="35"/>
  <c r="O120" i="35"/>
  <c r="N120" i="35" s="1"/>
  <c r="O121" i="35"/>
  <c r="N121" i="35" s="1"/>
  <c r="R30" i="35"/>
  <c r="R22" i="35"/>
  <c r="X24" i="35"/>
  <c r="R24" i="35" s="1"/>
  <c r="Q24" i="35" s="1"/>
  <c r="P190" i="35"/>
  <c r="P184" i="35"/>
  <c r="P176" i="35"/>
  <c r="P170" i="35"/>
  <c r="P167" i="35"/>
  <c r="P155" i="35"/>
  <c r="P150" i="35"/>
  <c r="P147" i="35"/>
  <c r="P146" i="35" s="1"/>
  <c r="P132" i="35"/>
  <c r="P115" i="35"/>
  <c r="P110" i="35"/>
  <c r="P107" i="35"/>
  <c r="P102" i="35"/>
  <c r="P99" i="35"/>
  <c r="P90" i="35"/>
  <c r="P85" i="35"/>
  <c r="P68" i="35"/>
  <c r="P48" i="35"/>
  <c r="P34" i="35"/>
  <c r="P21" i="35"/>
  <c r="P16" i="35"/>
  <c r="M170" i="35"/>
  <c r="M167" i="35"/>
  <c r="M158" i="35"/>
  <c r="M155" i="35"/>
  <c r="M150" i="35"/>
  <c r="M147" i="35"/>
  <c r="M140" i="35"/>
  <c r="M135" i="35"/>
  <c r="M132" i="35"/>
  <c r="M126" i="35"/>
  <c r="M118" i="35"/>
  <c r="M115" i="35"/>
  <c r="M110" i="35"/>
  <c r="M107" i="35"/>
  <c r="M102" i="35"/>
  <c r="M99" i="35"/>
  <c r="M93" i="35"/>
  <c r="M90" i="35"/>
  <c r="M85" i="35"/>
  <c r="M79" i="35"/>
  <c r="M68" i="35"/>
  <c r="M61" i="35"/>
  <c r="M54" i="35"/>
  <c r="M51" i="35"/>
  <c r="M48" i="35"/>
  <c r="M41" i="35"/>
  <c r="M21" i="35"/>
  <c r="M16" i="35"/>
  <c r="O196" i="35"/>
  <c r="N196" i="35" s="1"/>
  <c r="O195" i="35"/>
  <c r="N195" i="35" s="1"/>
  <c r="O194" i="35"/>
  <c r="O193" i="35"/>
  <c r="N193" i="35" s="1"/>
  <c r="O192" i="35"/>
  <c r="N192" i="35" s="1"/>
  <c r="O191" i="35"/>
  <c r="N191" i="35" s="1"/>
  <c r="O189" i="35"/>
  <c r="O188" i="35"/>
  <c r="N188" i="35" s="1"/>
  <c r="O187" i="35"/>
  <c r="N187" i="35" s="1"/>
  <c r="O186" i="35"/>
  <c r="N186" i="35" s="1"/>
  <c r="O185" i="35"/>
  <c r="O183" i="35"/>
  <c r="N183" i="35" s="1"/>
  <c r="O182" i="35"/>
  <c r="N182" i="35" s="1"/>
  <c r="O181" i="35"/>
  <c r="O180" i="35"/>
  <c r="O179" i="35"/>
  <c r="N179" i="35" s="1"/>
  <c r="O178" i="35"/>
  <c r="O177" i="35"/>
  <c r="O174" i="35"/>
  <c r="O173" i="35"/>
  <c r="O172" i="35"/>
  <c r="O171" i="35"/>
  <c r="O169" i="35"/>
  <c r="O168" i="35"/>
  <c r="N168" i="35" s="1"/>
  <c r="O165" i="35"/>
  <c r="O164" i="35"/>
  <c r="O163" i="35"/>
  <c r="N163" i="35" s="1"/>
  <c r="O162" i="35"/>
  <c r="N162" i="35" s="1"/>
  <c r="O161" i="35"/>
  <c r="N161" i="35" s="1"/>
  <c r="O160" i="35"/>
  <c r="P160" i="35" s="1"/>
  <c r="O159" i="35"/>
  <c r="O157" i="35"/>
  <c r="N157" i="35" s="1"/>
  <c r="O156" i="35"/>
  <c r="N156" i="35" s="1"/>
  <c r="O153" i="35"/>
  <c r="N153" i="35" s="1"/>
  <c r="O152" i="35"/>
  <c r="N152" i="35" s="1"/>
  <c r="O151" i="35"/>
  <c r="N151" i="35" s="1"/>
  <c r="O149" i="35"/>
  <c r="N149" i="35" s="1"/>
  <c r="O148" i="35"/>
  <c r="O145" i="35"/>
  <c r="O144" i="35"/>
  <c r="N144" i="35" s="1"/>
  <c r="O143" i="35"/>
  <c r="N143" i="35" s="1"/>
  <c r="O142" i="35"/>
  <c r="P142" i="35" s="1"/>
  <c r="P140" i="35" s="1"/>
  <c r="O141" i="35"/>
  <c r="N141" i="35" s="1"/>
  <c r="O139" i="35"/>
  <c r="P139" i="35" s="1"/>
  <c r="O136" i="35"/>
  <c r="N136" i="35" s="1"/>
  <c r="O134" i="35"/>
  <c r="N134" i="35" s="1"/>
  <c r="O133" i="35"/>
  <c r="N133" i="35" s="1"/>
  <c r="O130" i="35"/>
  <c r="N130" i="35" s="1"/>
  <c r="O129" i="35"/>
  <c r="N129" i="35" s="1"/>
  <c r="O128" i="35"/>
  <c r="P128" i="35" s="1"/>
  <c r="O127" i="35"/>
  <c r="N127" i="35" s="1"/>
  <c r="O125" i="35"/>
  <c r="N125" i="35" s="1"/>
  <c r="O123" i="35"/>
  <c r="N123" i="35" s="1"/>
  <c r="O119" i="35"/>
  <c r="O117" i="35"/>
  <c r="N117" i="35" s="1"/>
  <c r="O116" i="35"/>
  <c r="N116" i="35" s="1"/>
  <c r="O113" i="35"/>
  <c r="N113" i="35" s="1"/>
  <c r="O112" i="35"/>
  <c r="N112" i="35" s="1"/>
  <c r="O111" i="35"/>
  <c r="O109" i="35"/>
  <c r="N109" i="35" s="1"/>
  <c r="O108" i="35"/>
  <c r="N108" i="35" s="1"/>
  <c r="O105" i="35"/>
  <c r="N105" i="35" s="1"/>
  <c r="O104" i="35"/>
  <c r="N104" i="35" s="1"/>
  <c r="O103" i="35"/>
  <c r="N103" i="35" s="1"/>
  <c r="O101" i="35"/>
  <c r="N101" i="35" s="1"/>
  <c r="O100" i="35"/>
  <c r="N100" i="35" s="1"/>
  <c r="O97" i="35"/>
  <c r="N97" i="35" s="1"/>
  <c r="O96" i="35"/>
  <c r="N96" i="35" s="1"/>
  <c r="O95" i="35"/>
  <c r="P95" i="35" s="1"/>
  <c r="P93" i="35" s="1"/>
  <c r="O94" i="35"/>
  <c r="N94" i="35" s="1"/>
  <c r="O92" i="35"/>
  <c r="N92" i="35" s="1"/>
  <c r="O91" i="35"/>
  <c r="N91" i="35" s="1"/>
  <c r="O88" i="35"/>
  <c r="N88" i="35" s="1"/>
  <c r="O87" i="35"/>
  <c r="O86" i="35"/>
  <c r="N86" i="35" s="1"/>
  <c r="O84" i="35"/>
  <c r="N84" i="35" s="1"/>
  <c r="O83" i="35"/>
  <c r="N83" i="35" s="1"/>
  <c r="O82" i="35"/>
  <c r="N82" i="35" s="1"/>
  <c r="O81" i="35"/>
  <c r="O80" i="35"/>
  <c r="N80" i="35" s="1"/>
  <c r="O78" i="35"/>
  <c r="O77" i="35"/>
  <c r="P77" i="35" s="1"/>
  <c r="O75" i="35"/>
  <c r="N75" i="35" s="1"/>
  <c r="O74" i="35"/>
  <c r="P74" i="35" s="1"/>
  <c r="O73" i="35"/>
  <c r="O72" i="35"/>
  <c r="N72" i="35" s="1"/>
  <c r="O70" i="35"/>
  <c r="N70" i="35" s="1"/>
  <c r="O69" i="35"/>
  <c r="N69" i="35" s="1"/>
  <c r="O66" i="35"/>
  <c r="N66" i="35" s="1"/>
  <c r="O65" i="35"/>
  <c r="N65" i="35" s="1"/>
  <c r="O64" i="35"/>
  <c r="P64" i="35" s="1"/>
  <c r="O63" i="35"/>
  <c r="N63" i="35" s="1"/>
  <c r="O62" i="35"/>
  <c r="P62" i="35" s="1"/>
  <c r="O60" i="35"/>
  <c r="P60" i="35" s="1"/>
  <c r="N60" i="35" s="1"/>
  <c r="O59" i="35"/>
  <c r="P59" i="35" s="1"/>
  <c r="O58" i="35"/>
  <c r="O57" i="35"/>
  <c r="P57" i="35" s="1"/>
  <c r="O56" i="35"/>
  <c r="P56" i="35" s="1"/>
  <c r="O55" i="35"/>
  <c r="P55" i="35" s="1"/>
  <c r="O53" i="35"/>
  <c r="P53" i="35" s="1"/>
  <c r="P51" i="35" s="1"/>
  <c r="O52" i="35"/>
  <c r="N52" i="35" s="1"/>
  <c r="O50" i="35"/>
  <c r="N50" i="35" s="1"/>
  <c r="O49" i="35"/>
  <c r="O46" i="35"/>
  <c r="N46" i="35" s="1"/>
  <c r="O45" i="35"/>
  <c r="N45" i="35" s="1"/>
  <c r="O44" i="35"/>
  <c r="P44" i="35" s="1"/>
  <c r="O43" i="35"/>
  <c r="N43" i="35" s="1"/>
  <c r="O40" i="35"/>
  <c r="N40" i="35" s="1"/>
  <c r="O39" i="35"/>
  <c r="N39" i="35" s="1"/>
  <c r="O37" i="35"/>
  <c r="N37" i="35" s="1"/>
  <c r="O36" i="35"/>
  <c r="O33" i="35"/>
  <c r="N33" i="35" s="1"/>
  <c r="O31" i="35"/>
  <c r="N31" i="35" s="1"/>
  <c r="O30" i="35"/>
  <c r="N30" i="35" s="1"/>
  <c r="O29" i="35"/>
  <c r="N29" i="35" s="1"/>
  <c r="O28" i="35"/>
  <c r="N28" i="35" s="1"/>
  <c r="O27" i="35"/>
  <c r="O26" i="35"/>
  <c r="N26" i="35" s="1"/>
  <c r="O25" i="35"/>
  <c r="N25" i="35" s="1"/>
  <c r="O24" i="35"/>
  <c r="N24" i="35" s="1"/>
  <c r="O23" i="35"/>
  <c r="N23" i="35" s="1"/>
  <c r="O22" i="35"/>
  <c r="N22" i="35" s="1"/>
  <c r="O20" i="35"/>
  <c r="N20" i="35" s="1"/>
  <c r="O19" i="35"/>
  <c r="N19" i="35" s="1"/>
  <c r="O18" i="35"/>
  <c r="N18" i="35" s="1"/>
  <c r="O17" i="35"/>
  <c r="N17" i="35" s="1"/>
  <c r="O14" i="35"/>
  <c r="N14" i="35" s="1"/>
  <c r="O13" i="35"/>
  <c r="O12" i="35"/>
  <c r="N12" i="35" s="1"/>
  <c r="O11" i="35"/>
  <c r="N11" i="35" s="1"/>
  <c r="L196" i="35"/>
  <c r="L195" i="35"/>
  <c r="L194" i="35"/>
  <c r="K194" i="35" s="1"/>
  <c r="L193" i="35"/>
  <c r="K193" i="35" s="1"/>
  <c r="L192" i="35"/>
  <c r="M192" i="35" s="1"/>
  <c r="L191" i="35"/>
  <c r="M191" i="35" s="1"/>
  <c r="L189" i="35"/>
  <c r="M189" i="35" s="1"/>
  <c r="L188" i="35"/>
  <c r="M188" i="35" s="1"/>
  <c r="L187" i="35"/>
  <c r="M187" i="35" s="1"/>
  <c r="L186" i="35"/>
  <c r="M186" i="35" s="1"/>
  <c r="L185" i="35"/>
  <c r="M185" i="35" s="1"/>
  <c r="K185" i="35" s="1"/>
  <c r="L183" i="35"/>
  <c r="M183" i="35" s="1"/>
  <c r="K183" i="35" s="1"/>
  <c r="L182" i="35"/>
  <c r="L181" i="35"/>
  <c r="M181" i="35" s="1"/>
  <c r="K181" i="35" s="1"/>
  <c r="L180" i="35"/>
  <c r="M180" i="35" s="1"/>
  <c r="K180" i="35" s="1"/>
  <c r="L179" i="35"/>
  <c r="M179" i="35" s="1"/>
  <c r="K179" i="35" s="1"/>
  <c r="L178" i="35"/>
  <c r="M178" i="35" s="1"/>
  <c r="L177" i="35"/>
  <c r="L174" i="35"/>
  <c r="K174" i="35" s="1"/>
  <c r="L173" i="35"/>
  <c r="L172" i="35"/>
  <c r="L171" i="35"/>
  <c r="L169" i="35"/>
  <c r="L168" i="35"/>
  <c r="L165" i="35"/>
  <c r="K165" i="35" s="1"/>
  <c r="L164" i="35"/>
  <c r="L163" i="35"/>
  <c r="K163" i="35" s="1"/>
  <c r="L162" i="35"/>
  <c r="K162" i="35" s="1"/>
  <c r="L161" i="35"/>
  <c r="K161" i="35" s="1"/>
  <c r="L160" i="35"/>
  <c r="K160" i="35" s="1"/>
  <c r="L159" i="35"/>
  <c r="K159" i="35" s="1"/>
  <c r="L157" i="35"/>
  <c r="K157" i="35" s="1"/>
  <c r="L156" i="35"/>
  <c r="L153" i="35"/>
  <c r="K153" i="35" s="1"/>
  <c r="L152" i="35"/>
  <c r="K152" i="35" s="1"/>
  <c r="L151" i="35"/>
  <c r="K151" i="35" s="1"/>
  <c r="L149" i="35"/>
  <c r="K149" i="35" s="1"/>
  <c r="L148" i="35"/>
  <c r="K148" i="35" s="1"/>
  <c r="L145" i="35"/>
  <c r="K145" i="35" s="1"/>
  <c r="L144" i="35"/>
  <c r="L143" i="35"/>
  <c r="L142" i="35"/>
  <c r="K142" i="35" s="1"/>
  <c r="L141" i="35"/>
  <c r="K141" i="35" s="1"/>
  <c r="L139" i="35"/>
  <c r="L137" i="35"/>
  <c r="K137" i="35" s="1"/>
  <c r="L136" i="35"/>
  <c r="L134" i="35"/>
  <c r="L133" i="35"/>
  <c r="K133" i="35" s="1"/>
  <c r="L130" i="35"/>
  <c r="L129" i="35"/>
  <c r="L128" i="35"/>
  <c r="L127" i="35"/>
  <c r="K127" i="35" s="1"/>
  <c r="L125" i="35"/>
  <c r="K125" i="35" s="1"/>
  <c r="L123" i="35"/>
  <c r="K123" i="35" s="1"/>
  <c r="L121" i="35"/>
  <c r="K121" i="35" s="1"/>
  <c r="L120" i="35"/>
  <c r="L119" i="35"/>
  <c r="K119" i="35" s="1"/>
  <c r="L117" i="35"/>
  <c r="K117" i="35" s="1"/>
  <c r="L116" i="35"/>
  <c r="K116" i="35" s="1"/>
  <c r="L113" i="35"/>
  <c r="K113" i="35" s="1"/>
  <c r="L112" i="35"/>
  <c r="K112" i="35" s="1"/>
  <c r="L111" i="35"/>
  <c r="K111" i="35" s="1"/>
  <c r="L109" i="35"/>
  <c r="L108" i="35"/>
  <c r="L105" i="35"/>
  <c r="L104" i="35"/>
  <c r="K104" i="35" s="1"/>
  <c r="L103" i="35"/>
  <c r="L101" i="35"/>
  <c r="K101" i="35" s="1"/>
  <c r="L100" i="35"/>
  <c r="L97" i="35"/>
  <c r="K97" i="35" s="1"/>
  <c r="L96" i="35"/>
  <c r="K96" i="35" s="1"/>
  <c r="L95" i="35"/>
  <c r="K95" i="35" s="1"/>
  <c r="L94" i="35"/>
  <c r="L92" i="35"/>
  <c r="L91" i="35"/>
  <c r="K91" i="35" s="1"/>
  <c r="L88" i="35"/>
  <c r="L87" i="35"/>
  <c r="K87" i="35" s="1"/>
  <c r="L86" i="35"/>
  <c r="K86" i="35" s="1"/>
  <c r="L84" i="35"/>
  <c r="K84" i="35" s="1"/>
  <c r="L83" i="35"/>
  <c r="L82" i="35"/>
  <c r="K82" i="35" s="1"/>
  <c r="L81" i="35"/>
  <c r="L80" i="35"/>
  <c r="L78" i="35"/>
  <c r="K78" i="35" s="1"/>
  <c r="L77" i="35"/>
  <c r="L75" i="35"/>
  <c r="K75" i="35" s="1"/>
  <c r="L74" i="35"/>
  <c r="K74" i="35" s="1"/>
  <c r="L72" i="35"/>
  <c r="K72" i="35" s="1"/>
  <c r="L70" i="35"/>
  <c r="K70" i="35" s="1"/>
  <c r="L69" i="35"/>
  <c r="K69" i="35" s="1"/>
  <c r="L66" i="35"/>
  <c r="K66" i="35" s="1"/>
  <c r="L65" i="35"/>
  <c r="K65" i="35" s="1"/>
  <c r="L64" i="35"/>
  <c r="K64" i="35" s="1"/>
  <c r="L63" i="35"/>
  <c r="K63" i="35" s="1"/>
  <c r="L62" i="35"/>
  <c r="L60" i="35"/>
  <c r="K60" i="35" s="1"/>
  <c r="L59" i="35"/>
  <c r="L58" i="35"/>
  <c r="K58" i="35" s="1"/>
  <c r="L57" i="35"/>
  <c r="K57" i="35" s="1"/>
  <c r="L56" i="35"/>
  <c r="K56" i="35" s="1"/>
  <c r="L55" i="35"/>
  <c r="K55" i="35" s="1"/>
  <c r="L53" i="35"/>
  <c r="K53" i="35" s="1"/>
  <c r="L52" i="35"/>
  <c r="K52" i="35" s="1"/>
  <c r="L50" i="35"/>
  <c r="L49" i="35"/>
  <c r="K49" i="35" s="1"/>
  <c r="L46" i="35"/>
  <c r="K46" i="35" s="1"/>
  <c r="L45" i="35"/>
  <c r="K45" i="35" s="1"/>
  <c r="L44" i="35"/>
  <c r="K44" i="35" s="1"/>
  <c r="L43" i="35"/>
  <c r="K43" i="35" s="1"/>
  <c r="L40" i="35"/>
  <c r="K40" i="35" s="1"/>
  <c r="L39" i="35"/>
  <c r="K39" i="35" s="1"/>
  <c r="L37" i="35"/>
  <c r="L36" i="35"/>
  <c r="K36" i="35" s="1"/>
  <c r="L33" i="35"/>
  <c r="K33" i="35" s="1"/>
  <c r="L31" i="35"/>
  <c r="K31" i="35" s="1"/>
  <c r="L30" i="35"/>
  <c r="K30" i="35" s="1"/>
  <c r="L29" i="35"/>
  <c r="K29" i="35" s="1"/>
  <c r="L28" i="35"/>
  <c r="L27" i="35"/>
  <c r="K27" i="35" s="1"/>
  <c r="L26" i="35"/>
  <c r="K26" i="35" s="1"/>
  <c r="L25" i="35"/>
  <c r="K25" i="35" s="1"/>
  <c r="L24" i="35"/>
  <c r="K24" i="35" s="1"/>
  <c r="L23" i="35"/>
  <c r="K23" i="35" s="1"/>
  <c r="L22" i="35"/>
  <c r="K22" i="35" s="1"/>
  <c r="L20" i="35"/>
  <c r="K20" i="35" s="1"/>
  <c r="L19" i="35"/>
  <c r="K19" i="35" s="1"/>
  <c r="L18" i="35"/>
  <c r="K18" i="35" s="1"/>
  <c r="L17" i="35"/>
  <c r="K17" i="35" s="1"/>
  <c r="L14" i="35"/>
  <c r="M14" i="35" s="1"/>
  <c r="K14" i="35" s="1"/>
  <c r="L13" i="35"/>
  <c r="L12" i="35"/>
  <c r="M12" i="35" s="1"/>
  <c r="L11" i="35"/>
  <c r="K11" i="35" s="1"/>
  <c r="N194" i="35"/>
  <c r="N189" i="35"/>
  <c r="N185" i="35"/>
  <c r="N181" i="35"/>
  <c r="N180" i="35"/>
  <c r="N178" i="35"/>
  <c r="N177" i="35"/>
  <c r="N174" i="35"/>
  <c r="N173" i="35"/>
  <c r="N172" i="35"/>
  <c r="N171" i="35"/>
  <c r="N169" i="35"/>
  <c r="N165" i="35"/>
  <c r="N164" i="35"/>
  <c r="N159" i="35"/>
  <c r="N148" i="35"/>
  <c r="N145" i="35"/>
  <c r="N111" i="35"/>
  <c r="N87" i="35"/>
  <c r="N78" i="35"/>
  <c r="N73" i="35"/>
  <c r="N49" i="35"/>
  <c r="N27" i="35"/>
  <c r="N13" i="35"/>
  <c r="K196" i="35"/>
  <c r="K195" i="35"/>
  <c r="K186" i="35"/>
  <c r="K173" i="35"/>
  <c r="K172" i="35"/>
  <c r="K171" i="35"/>
  <c r="K169" i="35"/>
  <c r="K168" i="35"/>
  <c r="K164" i="35"/>
  <c r="K156" i="35"/>
  <c r="K144" i="35"/>
  <c r="K143" i="35"/>
  <c r="K139" i="35"/>
  <c r="K136" i="35"/>
  <c r="K134" i="35"/>
  <c r="K130" i="35"/>
  <c r="K129" i="35"/>
  <c r="K128" i="35"/>
  <c r="K120" i="35"/>
  <c r="K109" i="35"/>
  <c r="K108" i="35"/>
  <c r="K105" i="35"/>
  <c r="K103" i="35"/>
  <c r="K100" i="35"/>
  <c r="K94" i="35"/>
  <c r="K92" i="35"/>
  <c r="K88" i="35"/>
  <c r="K83" i="35"/>
  <c r="K81" i="35"/>
  <c r="K80" i="35"/>
  <c r="K77" i="35"/>
  <c r="K62" i="35"/>
  <c r="K59" i="35"/>
  <c r="K50" i="35"/>
  <c r="K37" i="35"/>
  <c r="K28" i="35"/>
  <c r="F20" i="35"/>
  <c r="R20" i="35"/>
  <c r="AL174" i="35"/>
  <c r="AL173" i="35"/>
  <c r="AL172" i="35"/>
  <c r="AL171" i="35"/>
  <c r="AL169" i="35"/>
  <c r="AL168" i="35"/>
  <c r="AL165" i="35"/>
  <c r="AL164" i="35"/>
  <c r="AL163" i="35"/>
  <c r="AL162" i="35"/>
  <c r="AL161" i="35"/>
  <c r="AL160" i="35"/>
  <c r="AL159" i="35"/>
  <c r="AL157" i="35"/>
  <c r="AL156" i="35"/>
  <c r="AL155" i="35" s="1"/>
  <c r="AL153" i="35"/>
  <c r="AL152" i="35"/>
  <c r="AL151" i="35"/>
  <c r="AL149" i="35"/>
  <c r="AL148" i="35"/>
  <c r="AL145" i="35"/>
  <c r="AL144" i="35"/>
  <c r="AL143" i="35"/>
  <c r="AL142" i="35"/>
  <c r="AL141" i="35"/>
  <c r="AL139" i="35"/>
  <c r="AL137" i="35"/>
  <c r="AL136" i="35"/>
  <c r="AL133" i="35"/>
  <c r="AL130" i="35"/>
  <c r="AL129" i="35"/>
  <c r="AL128" i="35"/>
  <c r="AL127" i="35"/>
  <c r="AL123" i="35"/>
  <c r="AL120" i="35"/>
  <c r="AL119" i="35"/>
  <c r="AL117" i="35"/>
  <c r="AL116" i="35"/>
  <c r="AL113" i="35"/>
  <c r="AL112" i="35"/>
  <c r="AL111" i="35"/>
  <c r="AL110" i="35" s="1"/>
  <c r="AL109" i="35"/>
  <c r="AL108" i="35"/>
  <c r="AL105" i="35"/>
  <c r="AL104" i="35"/>
  <c r="AL103" i="35"/>
  <c r="AL101" i="35"/>
  <c r="AL100" i="35"/>
  <c r="AL97" i="35"/>
  <c r="AL96" i="35"/>
  <c r="AL95" i="35"/>
  <c r="AL94" i="35"/>
  <c r="AL92" i="35"/>
  <c r="AL91" i="35"/>
  <c r="AL88" i="35"/>
  <c r="AL87" i="35"/>
  <c r="AL86" i="35"/>
  <c r="AL85" i="35" s="1"/>
  <c r="AL84" i="35"/>
  <c r="AL83" i="35"/>
  <c r="AL82" i="35"/>
  <c r="AL81" i="35"/>
  <c r="AL80" i="35"/>
  <c r="AL78" i="35"/>
  <c r="AL77" i="35"/>
  <c r="AL75" i="35"/>
  <c r="AL74" i="35"/>
  <c r="AL73" i="35"/>
  <c r="AL72" i="35"/>
  <c r="AL70" i="35"/>
  <c r="AL69" i="35"/>
  <c r="AL66" i="35"/>
  <c r="AL65" i="35"/>
  <c r="AL64" i="35"/>
  <c r="AL63" i="35"/>
  <c r="AL62" i="35"/>
  <c r="AL60" i="35"/>
  <c r="AL59" i="35"/>
  <c r="AL58" i="35"/>
  <c r="AL57" i="35"/>
  <c r="AL56" i="35"/>
  <c r="AL55" i="35"/>
  <c r="AL53" i="35"/>
  <c r="AL52" i="35"/>
  <c r="AL51" i="35" s="1"/>
  <c r="AL50" i="35"/>
  <c r="AL49" i="35"/>
  <c r="AL46" i="35"/>
  <c r="AL45" i="35"/>
  <c r="AL44" i="35"/>
  <c r="AL43" i="35"/>
  <c r="AL42" i="35" s="1"/>
  <c r="AL40" i="35"/>
  <c r="AL39" i="35"/>
  <c r="AL37" i="35"/>
  <c r="AL36" i="35"/>
  <c r="AL33" i="35"/>
  <c r="AL31" i="35"/>
  <c r="AL30" i="35"/>
  <c r="AL29" i="35"/>
  <c r="AL28" i="35"/>
  <c r="AL27" i="35"/>
  <c r="AL26" i="35"/>
  <c r="AL25" i="35"/>
  <c r="AL23" i="35"/>
  <c r="AL22" i="35"/>
  <c r="AL20" i="35"/>
  <c r="AL19" i="35"/>
  <c r="AL18" i="35"/>
  <c r="AL17" i="35"/>
  <c r="AL14" i="35"/>
  <c r="AL13" i="35"/>
  <c r="AL12" i="35"/>
  <c r="AL11" i="35"/>
  <c r="Z173" i="35"/>
  <c r="Z172" i="35"/>
  <c r="Z171" i="35"/>
  <c r="Z169" i="35"/>
  <c r="Z168" i="35"/>
  <c r="Z165" i="35"/>
  <c r="Z164" i="35"/>
  <c r="Z163" i="35"/>
  <c r="Z162" i="35"/>
  <c r="Z161" i="35"/>
  <c r="Z160" i="35"/>
  <c r="Z159" i="35"/>
  <c r="Z157" i="35"/>
  <c r="Z156" i="35"/>
  <c r="Z153" i="35"/>
  <c r="Z152" i="35"/>
  <c r="Z151" i="35"/>
  <c r="Z149" i="35"/>
  <c r="Z148" i="35"/>
  <c r="Z145" i="35"/>
  <c r="Z144" i="35"/>
  <c r="Z143" i="35"/>
  <c r="Z142" i="35"/>
  <c r="Z141" i="35"/>
  <c r="Z139" i="35"/>
  <c r="Z137" i="35"/>
  <c r="Z136" i="35"/>
  <c r="Z134" i="35"/>
  <c r="Z133" i="35"/>
  <c r="Z130" i="35"/>
  <c r="Z129" i="35"/>
  <c r="Z128" i="35"/>
  <c r="Z127" i="35"/>
  <c r="Z125" i="35"/>
  <c r="Z123" i="35"/>
  <c r="Z121" i="35"/>
  <c r="Z120" i="35"/>
  <c r="Z119" i="35"/>
  <c r="Z117" i="35"/>
  <c r="Z116" i="35"/>
  <c r="Z113" i="35"/>
  <c r="Z112" i="35"/>
  <c r="Z111" i="35"/>
  <c r="Z109" i="35"/>
  <c r="Z108" i="35"/>
  <c r="Z107" i="35" s="1"/>
  <c r="Z105" i="35"/>
  <c r="Z104" i="35"/>
  <c r="Z103" i="35"/>
  <c r="Z101" i="35"/>
  <c r="Z100" i="35"/>
  <c r="Z97" i="35"/>
  <c r="Z96" i="35"/>
  <c r="Z95" i="35"/>
  <c r="Z94" i="35"/>
  <c r="Z92" i="35"/>
  <c r="Z91" i="35"/>
  <c r="Z88" i="35"/>
  <c r="Z87" i="35"/>
  <c r="Z86" i="35"/>
  <c r="Z84" i="35"/>
  <c r="Z83" i="35"/>
  <c r="Z82" i="35"/>
  <c r="Z81" i="35"/>
  <c r="Z80" i="35"/>
  <c r="Z78" i="35"/>
  <c r="Z77" i="35"/>
  <c r="Z75" i="35"/>
  <c r="Z74" i="35"/>
  <c r="Z73" i="35"/>
  <c r="Z72" i="35"/>
  <c r="Z70" i="35"/>
  <c r="Z69" i="35"/>
  <c r="Z66" i="35"/>
  <c r="Z65" i="35"/>
  <c r="Z64" i="35"/>
  <c r="Z63" i="35"/>
  <c r="Z62" i="35"/>
  <c r="Z60" i="35"/>
  <c r="Z59" i="35"/>
  <c r="Z58" i="35"/>
  <c r="Z57" i="35"/>
  <c r="Z56" i="35"/>
  <c r="Z55" i="35"/>
  <c r="Z53" i="35"/>
  <c r="Z52" i="35"/>
  <c r="Z51" i="35" s="1"/>
  <c r="Z50" i="35"/>
  <c r="Z49" i="35"/>
  <c r="Z46" i="35"/>
  <c r="Z45" i="35"/>
  <c r="Z44" i="35"/>
  <c r="Z43" i="35"/>
  <c r="Z42" i="35" s="1"/>
  <c r="Z40" i="35"/>
  <c r="Z39" i="35"/>
  <c r="Z37" i="35"/>
  <c r="Z36" i="35"/>
  <c r="Z31" i="35"/>
  <c r="Z30" i="35"/>
  <c r="Z29" i="35"/>
  <c r="Z28" i="35"/>
  <c r="Z27" i="35"/>
  <c r="Z26" i="35"/>
  <c r="Z25" i="35"/>
  <c r="Z23" i="35"/>
  <c r="Z21" i="35" s="1"/>
  <c r="Z22" i="35"/>
  <c r="Z20" i="35"/>
  <c r="Z19" i="35"/>
  <c r="Z18" i="35"/>
  <c r="Z17" i="35"/>
  <c r="Z14" i="35"/>
  <c r="Z13" i="35"/>
  <c r="Z12" i="35"/>
  <c r="Z11" i="35"/>
  <c r="AF196" i="35"/>
  <c r="AE196" i="35"/>
  <c r="S196" i="35"/>
  <c r="R196" i="35"/>
  <c r="AF195" i="35"/>
  <c r="AE195" i="35"/>
  <c r="S195" i="35"/>
  <c r="R195" i="35"/>
  <c r="AF194" i="35"/>
  <c r="AE194" i="35"/>
  <c r="S194" i="35"/>
  <c r="R194" i="35"/>
  <c r="AF193" i="35"/>
  <c r="AE193" i="35"/>
  <c r="S193" i="35"/>
  <c r="R193" i="35"/>
  <c r="AF192" i="35"/>
  <c r="AE192" i="35"/>
  <c r="S192" i="35"/>
  <c r="R192" i="35"/>
  <c r="AF191" i="35"/>
  <c r="AE191" i="35"/>
  <c r="S191" i="35"/>
  <c r="R191" i="35"/>
  <c r="AF189" i="35"/>
  <c r="AE189" i="35"/>
  <c r="S189" i="35"/>
  <c r="R189" i="35"/>
  <c r="AF188" i="35"/>
  <c r="AE188" i="35"/>
  <c r="S188" i="35"/>
  <c r="R188" i="35"/>
  <c r="AF187" i="35"/>
  <c r="AE187" i="35"/>
  <c r="S187" i="35"/>
  <c r="R187" i="35"/>
  <c r="AF186" i="35"/>
  <c r="AE186" i="35"/>
  <c r="S186" i="35"/>
  <c r="R186" i="35"/>
  <c r="AF185" i="35"/>
  <c r="AE185" i="35"/>
  <c r="S185" i="35"/>
  <c r="R185" i="35"/>
  <c r="AF183" i="35"/>
  <c r="AE183" i="35"/>
  <c r="S183" i="35"/>
  <c r="R183" i="35"/>
  <c r="AF182" i="35"/>
  <c r="AE182" i="35"/>
  <c r="S182" i="35"/>
  <c r="R182" i="35"/>
  <c r="AF181" i="35"/>
  <c r="AE181" i="35"/>
  <c r="S181" i="35"/>
  <c r="R181" i="35"/>
  <c r="AF180" i="35"/>
  <c r="AE180" i="35"/>
  <c r="S180" i="35"/>
  <c r="R180" i="35"/>
  <c r="AF179" i="35"/>
  <c r="AE179" i="35"/>
  <c r="S179" i="35"/>
  <c r="R179" i="35"/>
  <c r="AF178" i="35"/>
  <c r="AE178" i="35"/>
  <c r="S178" i="35"/>
  <c r="R178" i="35"/>
  <c r="AF177" i="35"/>
  <c r="AE177" i="35"/>
  <c r="S177" i="35"/>
  <c r="R177" i="35"/>
  <c r="AF174" i="35"/>
  <c r="AE174" i="35"/>
  <c r="S174" i="35"/>
  <c r="R174" i="35"/>
  <c r="AF173" i="35"/>
  <c r="AE173" i="35"/>
  <c r="S173" i="35"/>
  <c r="R173" i="35"/>
  <c r="AF172" i="35"/>
  <c r="AE172" i="35"/>
  <c r="S172" i="35"/>
  <c r="R172" i="35"/>
  <c r="AF171" i="35"/>
  <c r="AE171" i="35"/>
  <c r="S171" i="35"/>
  <c r="R171" i="35"/>
  <c r="AF169" i="35"/>
  <c r="AE169" i="35"/>
  <c r="S169" i="35"/>
  <c r="R169" i="35"/>
  <c r="AF168" i="35"/>
  <c r="AE168" i="35"/>
  <c r="S168" i="35"/>
  <c r="R168" i="35"/>
  <c r="R167" i="35" s="1"/>
  <c r="AF165" i="35"/>
  <c r="AE165" i="35"/>
  <c r="S165" i="35"/>
  <c r="R165" i="35"/>
  <c r="AF164" i="35"/>
  <c r="AD164" i="35" s="1"/>
  <c r="AE164" i="35"/>
  <c r="S164" i="35"/>
  <c r="R164" i="35"/>
  <c r="AF163" i="35"/>
  <c r="AE163" i="35"/>
  <c r="S163" i="35"/>
  <c r="R163" i="35"/>
  <c r="AF162" i="35"/>
  <c r="AE162" i="35"/>
  <c r="S162" i="35"/>
  <c r="R162" i="35"/>
  <c r="AF161" i="35"/>
  <c r="AE161" i="35"/>
  <c r="S161" i="35"/>
  <c r="R161" i="35"/>
  <c r="AF160" i="35"/>
  <c r="AE160" i="35"/>
  <c r="S160" i="35"/>
  <c r="R160" i="35"/>
  <c r="AF159" i="35"/>
  <c r="AE159" i="35"/>
  <c r="S159" i="35"/>
  <c r="R159" i="35"/>
  <c r="Q159" i="35" s="1"/>
  <c r="AF157" i="35"/>
  <c r="AE157" i="35"/>
  <c r="S157" i="35"/>
  <c r="R157" i="35"/>
  <c r="Q157" i="35" s="1"/>
  <c r="AF156" i="35"/>
  <c r="AE156" i="35"/>
  <c r="S156" i="35"/>
  <c r="R156" i="35"/>
  <c r="R155" i="35" s="1"/>
  <c r="AF153" i="35"/>
  <c r="AE153" i="35"/>
  <c r="S153" i="35"/>
  <c r="R153" i="35"/>
  <c r="Q153" i="35" s="1"/>
  <c r="AF152" i="35"/>
  <c r="AE152" i="35"/>
  <c r="S152" i="35"/>
  <c r="R152" i="35"/>
  <c r="AF151" i="35"/>
  <c r="AE151" i="35"/>
  <c r="S151" i="35"/>
  <c r="R151" i="35"/>
  <c r="AF149" i="35"/>
  <c r="AE149" i="35"/>
  <c r="S149" i="35"/>
  <c r="R149" i="35"/>
  <c r="AF148" i="35"/>
  <c r="AE148" i="35"/>
  <c r="S148" i="35"/>
  <c r="R148" i="35"/>
  <c r="AF145" i="35"/>
  <c r="AE145" i="35"/>
  <c r="S145" i="35"/>
  <c r="R145" i="35"/>
  <c r="AF144" i="35"/>
  <c r="AE144" i="35"/>
  <c r="S144" i="35"/>
  <c r="R144" i="35"/>
  <c r="AF143" i="35"/>
  <c r="AF140" i="35" s="1"/>
  <c r="AE143" i="35"/>
  <c r="S143" i="35"/>
  <c r="R143" i="35"/>
  <c r="AF142" i="35"/>
  <c r="AE142" i="35"/>
  <c r="S142" i="35"/>
  <c r="Q142" i="35" s="1"/>
  <c r="R142" i="35"/>
  <c r="AF141" i="35"/>
  <c r="AE141" i="35"/>
  <c r="S141" i="35"/>
  <c r="R141" i="35"/>
  <c r="AF139" i="35"/>
  <c r="AE139" i="35"/>
  <c r="S139" i="35"/>
  <c r="R139" i="35"/>
  <c r="AF137" i="35"/>
  <c r="AE137" i="35"/>
  <c r="S137" i="35"/>
  <c r="R137" i="35"/>
  <c r="AF136" i="35"/>
  <c r="AE136" i="35"/>
  <c r="S136" i="35"/>
  <c r="R136" i="35"/>
  <c r="AE134" i="35"/>
  <c r="AE132" i="35" s="1"/>
  <c r="S134" i="35"/>
  <c r="R134" i="35"/>
  <c r="AF133" i="35"/>
  <c r="AE133" i="35"/>
  <c r="S133" i="35"/>
  <c r="R133" i="35"/>
  <c r="AF130" i="35"/>
  <c r="AE130" i="35"/>
  <c r="S130" i="35"/>
  <c r="R130" i="35"/>
  <c r="AF129" i="35"/>
  <c r="AE129" i="35"/>
  <c r="AD129" i="35" s="1"/>
  <c r="S129" i="35"/>
  <c r="R129" i="35"/>
  <c r="AF128" i="35"/>
  <c r="AE128" i="35"/>
  <c r="S128" i="35"/>
  <c r="R128" i="35"/>
  <c r="AF127" i="35"/>
  <c r="AE127" i="35"/>
  <c r="S127" i="35"/>
  <c r="R127" i="35"/>
  <c r="AE125" i="35"/>
  <c r="S125" i="35"/>
  <c r="R125" i="35"/>
  <c r="AF123" i="35"/>
  <c r="AE123" i="35"/>
  <c r="S123" i="35"/>
  <c r="R123" i="35"/>
  <c r="AE121" i="35"/>
  <c r="S121" i="35"/>
  <c r="R121" i="35"/>
  <c r="AF120" i="35"/>
  <c r="AE120" i="35"/>
  <c r="S120" i="35"/>
  <c r="R120" i="35"/>
  <c r="AF119" i="35"/>
  <c r="AE119" i="35"/>
  <c r="S119" i="35"/>
  <c r="R119" i="35"/>
  <c r="AF117" i="35"/>
  <c r="AE117" i="35"/>
  <c r="S117" i="35"/>
  <c r="R117" i="35"/>
  <c r="AF116" i="35"/>
  <c r="AE116" i="35"/>
  <c r="S116" i="35"/>
  <c r="R116" i="35"/>
  <c r="AF113" i="35"/>
  <c r="AE113" i="35"/>
  <c r="S113" i="35"/>
  <c r="R113" i="35"/>
  <c r="AF112" i="35"/>
  <c r="AE112" i="35"/>
  <c r="AD112" i="35" s="1"/>
  <c r="S112" i="35"/>
  <c r="R112" i="35"/>
  <c r="AF111" i="35"/>
  <c r="AE111" i="35"/>
  <c r="S111" i="35"/>
  <c r="R111" i="35"/>
  <c r="R110" i="35" s="1"/>
  <c r="AF109" i="35"/>
  <c r="AE109" i="35"/>
  <c r="S109" i="35"/>
  <c r="R109" i="35"/>
  <c r="AF108" i="35"/>
  <c r="AE108" i="35"/>
  <c r="AE107" i="35" s="1"/>
  <c r="S108" i="35"/>
  <c r="R108" i="35"/>
  <c r="AF105" i="35"/>
  <c r="AE105" i="35"/>
  <c r="S105" i="35"/>
  <c r="R105" i="35"/>
  <c r="AF104" i="35"/>
  <c r="AE104" i="35"/>
  <c r="S104" i="35"/>
  <c r="R104" i="35"/>
  <c r="Q104" i="35" s="1"/>
  <c r="AF103" i="35"/>
  <c r="AE103" i="35"/>
  <c r="S103" i="35"/>
  <c r="R103" i="35"/>
  <c r="AF101" i="35"/>
  <c r="AE101" i="35"/>
  <c r="S101" i="35"/>
  <c r="R101" i="35"/>
  <c r="AF100" i="35"/>
  <c r="AE100" i="35"/>
  <c r="S100" i="35"/>
  <c r="R100" i="35"/>
  <c r="AF97" i="35"/>
  <c r="AE97" i="35"/>
  <c r="S97" i="35"/>
  <c r="R97" i="35"/>
  <c r="AF96" i="35"/>
  <c r="AE96" i="35"/>
  <c r="AD96" i="35" s="1"/>
  <c r="S96" i="35"/>
  <c r="R96" i="35"/>
  <c r="AF95" i="35"/>
  <c r="AE95" i="35"/>
  <c r="S95" i="35"/>
  <c r="R95" i="35"/>
  <c r="AF94" i="35"/>
  <c r="AE94" i="35"/>
  <c r="S94" i="35"/>
  <c r="R94" i="35"/>
  <c r="AF92" i="35"/>
  <c r="AE92" i="35"/>
  <c r="S92" i="35"/>
  <c r="R92" i="35"/>
  <c r="AF91" i="35"/>
  <c r="AE91" i="35"/>
  <c r="S91" i="35"/>
  <c r="R91" i="35"/>
  <c r="AF88" i="35"/>
  <c r="AE88" i="35"/>
  <c r="S88" i="35"/>
  <c r="R88" i="35"/>
  <c r="AF87" i="35"/>
  <c r="AE87" i="35"/>
  <c r="S87" i="35"/>
  <c r="R87" i="35"/>
  <c r="AF86" i="35"/>
  <c r="AE86" i="35"/>
  <c r="S86" i="35"/>
  <c r="R86" i="35"/>
  <c r="AF84" i="35"/>
  <c r="AE84" i="35"/>
  <c r="AD84" i="35" s="1"/>
  <c r="S84" i="35"/>
  <c r="R84" i="35"/>
  <c r="AF83" i="35"/>
  <c r="AE83" i="35"/>
  <c r="S83" i="35"/>
  <c r="R83" i="35"/>
  <c r="AF82" i="35"/>
  <c r="AE82" i="35"/>
  <c r="AD82" i="35" s="1"/>
  <c r="S82" i="35"/>
  <c r="R82" i="35"/>
  <c r="AF81" i="35"/>
  <c r="AE81" i="35"/>
  <c r="S81" i="35"/>
  <c r="R81" i="35"/>
  <c r="AF80" i="35"/>
  <c r="AE80" i="35"/>
  <c r="S80" i="35"/>
  <c r="R80" i="35"/>
  <c r="AF78" i="35"/>
  <c r="AE78" i="35"/>
  <c r="S78" i="35"/>
  <c r="R78" i="35"/>
  <c r="AF77" i="35"/>
  <c r="AE77" i="35"/>
  <c r="S77" i="35"/>
  <c r="R77" i="35"/>
  <c r="AF75" i="35"/>
  <c r="AE75" i="35"/>
  <c r="AD75" i="35" s="1"/>
  <c r="S75" i="35"/>
  <c r="R75" i="35"/>
  <c r="AF74" i="35"/>
  <c r="AE74" i="35"/>
  <c r="S74" i="35"/>
  <c r="R74" i="35"/>
  <c r="AF73" i="35"/>
  <c r="AE73" i="35"/>
  <c r="S73" i="35"/>
  <c r="R73" i="35"/>
  <c r="AF72" i="35"/>
  <c r="AE72" i="35"/>
  <c r="S72" i="35"/>
  <c r="R72" i="35"/>
  <c r="AF70" i="35"/>
  <c r="AE70" i="35"/>
  <c r="S70" i="35"/>
  <c r="R70" i="35"/>
  <c r="AF69" i="35"/>
  <c r="AE69" i="35"/>
  <c r="S69" i="35"/>
  <c r="R69" i="35"/>
  <c r="AF66" i="35"/>
  <c r="AE66" i="35"/>
  <c r="S66" i="35"/>
  <c r="R66" i="35"/>
  <c r="AF65" i="35"/>
  <c r="AE65" i="35"/>
  <c r="S65" i="35"/>
  <c r="R65" i="35"/>
  <c r="AF64" i="35"/>
  <c r="AE64" i="35"/>
  <c r="S64" i="35"/>
  <c r="R64" i="35"/>
  <c r="AF63" i="35"/>
  <c r="AE63" i="35"/>
  <c r="S63" i="35"/>
  <c r="R63" i="35"/>
  <c r="AF62" i="35"/>
  <c r="AE62" i="35"/>
  <c r="S62" i="35"/>
  <c r="R62" i="35"/>
  <c r="AF60" i="35"/>
  <c r="AE60" i="35"/>
  <c r="S60" i="35"/>
  <c r="R60" i="35"/>
  <c r="AF59" i="35"/>
  <c r="AE59" i="35"/>
  <c r="S59" i="35"/>
  <c r="R59" i="35"/>
  <c r="AF58" i="35"/>
  <c r="AE58" i="35"/>
  <c r="S58" i="35"/>
  <c r="R58" i="35"/>
  <c r="AF57" i="35"/>
  <c r="AE57" i="35"/>
  <c r="S57" i="35"/>
  <c r="R57" i="35"/>
  <c r="AF56" i="35"/>
  <c r="AE56" i="35"/>
  <c r="S56" i="35"/>
  <c r="R56" i="35"/>
  <c r="AF55" i="35"/>
  <c r="AE55" i="35"/>
  <c r="S55" i="35"/>
  <c r="R55" i="35"/>
  <c r="AF53" i="35"/>
  <c r="AE53" i="35"/>
  <c r="S53" i="35"/>
  <c r="R53" i="35"/>
  <c r="AF52" i="35"/>
  <c r="AE52" i="35"/>
  <c r="S52" i="35"/>
  <c r="R52" i="35"/>
  <c r="AF50" i="35"/>
  <c r="AE50" i="35"/>
  <c r="S50" i="35"/>
  <c r="R50" i="35"/>
  <c r="AF49" i="35"/>
  <c r="AE49" i="35"/>
  <c r="AE48" i="35" s="1"/>
  <c r="S49" i="35"/>
  <c r="S48" i="35" s="1"/>
  <c r="R49" i="35"/>
  <c r="AF46" i="35"/>
  <c r="AE46" i="35"/>
  <c r="S46" i="35"/>
  <c r="R46" i="35"/>
  <c r="AF45" i="35"/>
  <c r="AE45" i="35"/>
  <c r="S45" i="35"/>
  <c r="R45" i="35"/>
  <c r="AF44" i="35"/>
  <c r="AE44" i="35"/>
  <c r="S44" i="35"/>
  <c r="R44" i="35"/>
  <c r="AF43" i="35"/>
  <c r="AE43" i="35"/>
  <c r="AD43" i="35" s="1"/>
  <c r="S43" i="35"/>
  <c r="R43" i="35"/>
  <c r="AF40" i="35"/>
  <c r="AE40" i="35"/>
  <c r="S40" i="35"/>
  <c r="R40" i="35"/>
  <c r="AF39" i="35"/>
  <c r="AE39" i="35"/>
  <c r="S39" i="35"/>
  <c r="R39" i="35"/>
  <c r="AF37" i="35"/>
  <c r="AE37" i="35"/>
  <c r="S37" i="35"/>
  <c r="R37" i="35"/>
  <c r="AF36" i="35"/>
  <c r="AE36" i="35"/>
  <c r="S36" i="35"/>
  <c r="R36" i="35"/>
  <c r="AF33" i="35"/>
  <c r="AE33" i="35"/>
  <c r="S33" i="35"/>
  <c r="R33" i="35"/>
  <c r="AF31" i="35"/>
  <c r="AE31" i="35"/>
  <c r="S31" i="35"/>
  <c r="R31" i="35"/>
  <c r="AF30" i="35"/>
  <c r="AE30" i="35"/>
  <c r="S30" i="35"/>
  <c r="Q30" i="35" s="1"/>
  <c r="AF29" i="35"/>
  <c r="AE29" i="35"/>
  <c r="S29" i="35"/>
  <c r="R29" i="35"/>
  <c r="AF28" i="35"/>
  <c r="AE28" i="35"/>
  <c r="S28" i="35"/>
  <c r="R28" i="35"/>
  <c r="AF27" i="35"/>
  <c r="AE27" i="35"/>
  <c r="S27" i="35"/>
  <c r="R27" i="35"/>
  <c r="AF26" i="35"/>
  <c r="AE26" i="35"/>
  <c r="S26" i="35"/>
  <c r="R26" i="35"/>
  <c r="AF25" i="35"/>
  <c r="AE25" i="35"/>
  <c r="S25" i="35"/>
  <c r="R25" i="35"/>
  <c r="AF23" i="35"/>
  <c r="AE23" i="35"/>
  <c r="S23" i="35"/>
  <c r="R23" i="35"/>
  <c r="AF22" i="35"/>
  <c r="AE22" i="35"/>
  <c r="AE21" i="35" s="1"/>
  <c r="S22" i="35"/>
  <c r="AF20" i="35"/>
  <c r="AE20" i="35"/>
  <c r="S20" i="35"/>
  <c r="AF19" i="35"/>
  <c r="AE19" i="35"/>
  <c r="S19" i="35"/>
  <c r="R19" i="35"/>
  <c r="AF18" i="35"/>
  <c r="AE18" i="35"/>
  <c r="S18" i="35"/>
  <c r="R18" i="35"/>
  <c r="AF17" i="35"/>
  <c r="AE17" i="35"/>
  <c r="S17" i="35"/>
  <c r="R17" i="35"/>
  <c r="AF14" i="35"/>
  <c r="AE14" i="35"/>
  <c r="S14" i="35"/>
  <c r="R14" i="35"/>
  <c r="AF13" i="35"/>
  <c r="AE13" i="35"/>
  <c r="S13" i="35"/>
  <c r="R13" i="35"/>
  <c r="AF12" i="35"/>
  <c r="AE12" i="35"/>
  <c r="S12" i="35"/>
  <c r="R12" i="35"/>
  <c r="AF11" i="35"/>
  <c r="AE11" i="35"/>
  <c r="S11" i="35"/>
  <c r="R11" i="35"/>
  <c r="AP190" i="35"/>
  <c r="AO190" i="35"/>
  <c r="AN190" i="35"/>
  <c r="AM190" i="35"/>
  <c r="AK190" i="35"/>
  <c r="AJ190" i="35"/>
  <c r="AI190" i="35"/>
  <c r="AH190" i="35"/>
  <c r="AG190" i="35"/>
  <c r="AC190" i="35"/>
  <c r="AB190" i="35"/>
  <c r="AA190" i="35"/>
  <c r="Z190" i="35"/>
  <c r="Y190" i="35"/>
  <c r="X190" i="35"/>
  <c r="W190" i="35"/>
  <c r="V190" i="35"/>
  <c r="U190" i="35"/>
  <c r="T190" i="35"/>
  <c r="AP184" i="35"/>
  <c r="AO184" i="35"/>
  <c r="AN184" i="35"/>
  <c r="AM184" i="35"/>
  <c r="AL184" i="35"/>
  <c r="AK184" i="35"/>
  <c r="AJ184" i="35"/>
  <c r="AI184" i="35"/>
  <c r="AH184" i="35"/>
  <c r="AG184" i="35"/>
  <c r="AC184" i="35"/>
  <c r="AB184" i="35"/>
  <c r="AA184" i="35"/>
  <c r="Z184" i="35"/>
  <c r="Y184" i="35"/>
  <c r="X184" i="35"/>
  <c r="W184" i="35"/>
  <c r="V184" i="35"/>
  <c r="U184" i="35"/>
  <c r="T184" i="35"/>
  <c r="AP176" i="35"/>
  <c r="AO176" i="35"/>
  <c r="AN176" i="35"/>
  <c r="AM176" i="35"/>
  <c r="AM175" i="35" s="1"/>
  <c r="AL176" i="35"/>
  <c r="AK176" i="35"/>
  <c r="AJ176" i="35"/>
  <c r="AJ175" i="35" s="1"/>
  <c r="AI176" i="35"/>
  <c r="AI175" i="35" s="1"/>
  <c r="AH176" i="35"/>
  <c r="AG176" i="35"/>
  <c r="AC176" i="35"/>
  <c r="AB176" i="35"/>
  <c r="AA176" i="35"/>
  <c r="Z176" i="35"/>
  <c r="Y176" i="35"/>
  <c r="X176" i="35"/>
  <c r="W176" i="35"/>
  <c r="V176" i="35"/>
  <c r="U176" i="35"/>
  <c r="U175" i="35" s="1"/>
  <c r="T176" i="35"/>
  <c r="AK175" i="35"/>
  <c r="AB175" i="35"/>
  <c r="AP170" i="35"/>
  <c r="AO170" i="35"/>
  <c r="AN170" i="35"/>
  <c r="AM170" i="35"/>
  <c r="AK170" i="35"/>
  <c r="AJ170" i="35"/>
  <c r="AI170" i="35"/>
  <c r="AH170" i="35"/>
  <c r="AG170" i="35"/>
  <c r="AC170" i="35"/>
  <c r="AB170" i="35"/>
  <c r="AA170" i="35"/>
  <c r="Y170" i="35"/>
  <c r="O170" i="35" s="1"/>
  <c r="X170" i="35"/>
  <c r="W170" i="35"/>
  <c r="W166" i="35" s="1"/>
  <c r="V170" i="35"/>
  <c r="U170" i="35"/>
  <c r="T170" i="35"/>
  <c r="AP167" i="35"/>
  <c r="AO167" i="35"/>
  <c r="AN167" i="35"/>
  <c r="AM167" i="35"/>
  <c r="AK167" i="35"/>
  <c r="AJ167" i="35"/>
  <c r="AJ166" i="35" s="1"/>
  <c r="AI167" i="35"/>
  <c r="AH167" i="35"/>
  <c r="AG167" i="35"/>
  <c r="AC167" i="35"/>
  <c r="AB167" i="35"/>
  <c r="AA167" i="35"/>
  <c r="Z167" i="35"/>
  <c r="Y167" i="35"/>
  <c r="X167" i="35"/>
  <c r="X166" i="35" s="1"/>
  <c r="W167" i="35"/>
  <c r="V167" i="35"/>
  <c r="V166" i="35" s="1"/>
  <c r="U167" i="35"/>
  <c r="T167" i="35"/>
  <c r="AP158" i="35"/>
  <c r="AO158" i="35"/>
  <c r="AN158" i="35"/>
  <c r="AM158" i="35"/>
  <c r="AK158" i="35"/>
  <c r="AJ158" i="35"/>
  <c r="AI158" i="35"/>
  <c r="AH158" i="35"/>
  <c r="AG158" i="35"/>
  <c r="AC158" i="35"/>
  <c r="AB158" i="35"/>
  <c r="AA158" i="35"/>
  <c r="Y158" i="35"/>
  <c r="O158" i="35" s="1"/>
  <c r="X158" i="35"/>
  <c r="W158" i="35"/>
  <c r="V158" i="35"/>
  <c r="U158" i="35"/>
  <c r="T158" i="35"/>
  <c r="AP155" i="35"/>
  <c r="AO155" i="35"/>
  <c r="AO154" i="35" s="1"/>
  <c r="AN155" i="35"/>
  <c r="AM155" i="35"/>
  <c r="AK155" i="35"/>
  <c r="AK154" i="35" s="1"/>
  <c r="AJ155" i="35"/>
  <c r="AJ154" i="35" s="1"/>
  <c r="AI155" i="35"/>
  <c r="AH155" i="35"/>
  <c r="AG155" i="35"/>
  <c r="AG154" i="35" s="1"/>
  <c r="AC155" i="35"/>
  <c r="AB155" i="35"/>
  <c r="AA155" i="35"/>
  <c r="Y155" i="35"/>
  <c r="O155" i="35" s="1"/>
  <c r="X155" i="35"/>
  <c r="X154" i="35" s="1"/>
  <c r="W155" i="35"/>
  <c r="V155" i="35"/>
  <c r="U155" i="35"/>
  <c r="U154" i="35" s="1"/>
  <c r="T155" i="35"/>
  <c r="AP150" i="35"/>
  <c r="AO150" i="35"/>
  <c r="AN150" i="35"/>
  <c r="AM150" i="35"/>
  <c r="AK150" i="35"/>
  <c r="AJ150" i="35"/>
  <c r="AI150" i="35"/>
  <c r="AH150" i="35"/>
  <c r="AG150" i="35"/>
  <c r="AC150" i="35"/>
  <c r="AB150" i="35"/>
  <c r="AA150" i="35"/>
  <c r="Y150" i="35"/>
  <c r="O150" i="35" s="1"/>
  <c r="X150" i="35"/>
  <c r="W150" i="35"/>
  <c r="V150" i="35"/>
  <c r="U150" i="35"/>
  <c r="T150" i="35"/>
  <c r="R150" i="35"/>
  <c r="AP147" i="35"/>
  <c r="AP146" i="35" s="1"/>
  <c r="AO147" i="35"/>
  <c r="AN147" i="35"/>
  <c r="AM147" i="35"/>
  <c r="AK147" i="35"/>
  <c r="AJ147" i="35"/>
  <c r="AI147" i="35"/>
  <c r="AH147" i="35"/>
  <c r="AG147" i="35"/>
  <c r="AC147" i="35"/>
  <c r="AB147" i="35"/>
  <c r="AA147" i="35"/>
  <c r="Y147" i="35"/>
  <c r="X147" i="35"/>
  <c r="W147" i="35"/>
  <c r="V147" i="35"/>
  <c r="U147" i="35"/>
  <c r="T147" i="35"/>
  <c r="AP140" i="35"/>
  <c r="AO140" i="35"/>
  <c r="AN140" i="35"/>
  <c r="AM140" i="35"/>
  <c r="AK140" i="35"/>
  <c r="AJ140" i="35"/>
  <c r="AI140" i="35"/>
  <c r="AH140" i="35"/>
  <c r="AH131" i="35" s="1"/>
  <c r="AG140" i="35"/>
  <c r="AC140" i="35"/>
  <c r="AB140" i="35"/>
  <c r="AA140" i="35"/>
  <c r="Y140" i="35"/>
  <c r="X140" i="35"/>
  <c r="W140" i="35"/>
  <c r="V140" i="35"/>
  <c r="U140" i="35"/>
  <c r="T140" i="35"/>
  <c r="AP135" i="35"/>
  <c r="AO135" i="35"/>
  <c r="AN135" i="35"/>
  <c r="AM135" i="35"/>
  <c r="AK135" i="35"/>
  <c r="AJ135" i="35"/>
  <c r="AI135" i="35"/>
  <c r="AH135" i="35"/>
  <c r="AG135" i="35"/>
  <c r="AC135" i="35"/>
  <c r="AB135" i="35"/>
  <c r="AA135" i="35"/>
  <c r="Y135" i="35"/>
  <c r="X135" i="35"/>
  <c r="W135" i="35"/>
  <c r="V135" i="35"/>
  <c r="U135" i="35"/>
  <c r="T135" i="35"/>
  <c r="AP132" i="35"/>
  <c r="AO132" i="35"/>
  <c r="AN132" i="35"/>
  <c r="AM132" i="35"/>
  <c r="AK132" i="35"/>
  <c r="AJ132" i="35"/>
  <c r="AI132" i="35"/>
  <c r="AI131" i="35" s="1"/>
  <c r="AH132" i="35"/>
  <c r="AG132" i="35"/>
  <c r="AC132" i="35"/>
  <c r="AB132" i="35"/>
  <c r="AA132" i="35"/>
  <c r="Y132" i="35"/>
  <c r="X132" i="35"/>
  <c r="W132" i="35"/>
  <c r="V132" i="35"/>
  <c r="U132" i="35"/>
  <c r="T132" i="35"/>
  <c r="AP126" i="35"/>
  <c r="AO126" i="35"/>
  <c r="AN126" i="35"/>
  <c r="AM126" i="35"/>
  <c r="AK126" i="35"/>
  <c r="AJ126" i="35"/>
  <c r="AI126" i="35"/>
  <c r="AH126" i="35"/>
  <c r="AG126" i="35"/>
  <c r="AF126" i="35"/>
  <c r="AC126" i="35"/>
  <c r="AB126" i="35"/>
  <c r="AA126" i="35"/>
  <c r="Y126" i="35"/>
  <c r="O126" i="35" s="1"/>
  <c r="X126" i="35"/>
  <c r="W126" i="35"/>
  <c r="V126" i="35"/>
  <c r="U126" i="35"/>
  <c r="T126" i="35"/>
  <c r="AP118" i="35"/>
  <c r="AP114" i="35" s="1"/>
  <c r="AO118" i="35"/>
  <c r="AM118" i="35"/>
  <c r="AK118" i="35"/>
  <c r="AJ118" i="35"/>
  <c r="AI118" i="35"/>
  <c r="AH118" i="35"/>
  <c r="AG118" i="35"/>
  <c r="AC118" i="35"/>
  <c r="AB118" i="35"/>
  <c r="AA118" i="35"/>
  <c r="Y118" i="35"/>
  <c r="X118" i="35"/>
  <c r="W118" i="35"/>
  <c r="V118" i="35"/>
  <c r="U118" i="35"/>
  <c r="T118" i="35"/>
  <c r="AP115" i="35"/>
  <c r="AO115" i="35"/>
  <c r="AN115" i="35"/>
  <c r="AM115" i="35"/>
  <c r="AK115" i="35"/>
  <c r="AJ115" i="35"/>
  <c r="AI115" i="35"/>
  <c r="AH115" i="35"/>
  <c r="AG115" i="35"/>
  <c r="AC115" i="35"/>
  <c r="AB115" i="35"/>
  <c r="AA115" i="35"/>
  <c r="Y115" i="35"/>
  <c r="O115" i="35" s="1"/>
  <c r="N115" i="35" s="1"/>
  <c r="X115" i="35"/>
  <c r="X114" i="35" s="1"/>
  <c r="W115" i="35"/>
  <c r="V115" i="35"/>
  <c r="U115" i="35"/>
  <c r="T115" i="35"/>
  <c r="AP110" i="35"/>
  <c r="AO110" i="35"/>
  <c r="AN110" i="35"/>
  <c r="AM110" i="35"/>
  <c r="AK110" i="35"/>
  <c r="AJ110" i="35"/>
  <c r="AI110" i="35"/>
  <c r="AH110" i="35"/>
  <c r="AG110" i="35"/>
  <c r="AC110" i="35"/>
  <c r="AB110" i="35"/>
  <c r="AA110" i="35"/>
  <c r="Y110" i="35"/>
  <c r="O110" i="35" s="1"/>
  <c r="N110" i="35" s="1"/>
  <c r="X110" i="35"/>
  <c r="W110" i="35"/>
  <c r="V110" i="35"/>
  <c r="U110" i="35"/>
  <c r="T110" i="35"/>
  <c r="AP107" i="35"/>
  <c r="AP106" i="35" s="1"/>
  <c r="AO107" i="35"/>
  <c r="AN107" i="35"/>
  <c r="AM107" i="35"/>
  <c r="AM106" i="35" s="1"/>
  <c r="AK107" i="35"/>
  <c r="AK106" i="35" s="1"/>
  <c r="AJ107" i="35"/>
  <c r="AI107" i="35"/>
  <c r="AH107" i="35"/>
  <c r="AH106" i="35" s="1"/>
  <c r="AG107" i="35"/>
  <c r="AF107" i="35"/>
  <c r="AC107" i="35"/>
  <c r="AB107" i="35"/>
  <c r="AA107" i="35"/>
  <c r="AA106" i="35" s="1"/>
  <c r="Y107" i="35"/>
  <c r="X107" i="35"/>
  <c r="W107" i="35"/>
  <c r="V107" i="35"/>
  <c r="V106" i="35" s="1"/>
  <c r="U107" i="35"/>
  <c r="T107" i="35"/>
  <c r="L107" i="35" s="1"/>
  <c r="K107" i="35" s="1"/>
  <c r="AO106" i="35"/>
  <c r="AG106" i="35"/>
  <c r="AP102" i="35"/>
  <c r="AO102" i="35"/>
  <c r="AN102" i="35"/>
  <c r="AM102" i="35"/>
  <c r="AK102" i="35"/>
  <c r="AJ102" i="35"/>
  <c r="AI102" i="35"/>
  <c r="AH102" i="35"/>
  <c r="AG102" i="35"/>
  <c r="AF102" i="35"/>
  <c r="AC102" i="35"/>
  <c r="AB102" i="35"/>
  <c r="AA102" i="35"/>
  <c r="Z102" i="35"/>
  <c r="Y102" i="35"/>
  <c r="O102" i="35" s="1"/>
  <c r="N102" i="35" s="1"/>
  <c r="X102" i="35"/>
  <c r="W102" i="35"/>
  <c r="V102" i="35"/>
  <c r="U102" i="35"/>
  <c r="T102" i="35"/>
  <c r="L102" i="35" s="1"/>
  <c r="AP99" i="35"/>
  <c r="AO99" i="35"/>
  <c r="AO98" i="35" s="1"/>
  <c r="AN99" i="35"/>
  <c r="AN98" i="35" s="1"/>
  <c r="AM99" i="35"/>
  <c r="AK99" i="35"/>
  <c r="AK98" i="35" s="1"/>
  <c r="AJ99" i="35"/>
  <c r="AJ98" i="35" s="1"/>
  <c r="AI99" i="35"/>
  <c r="AI98" i="35" s="1"/>
  <c r="AH99" i="35"/>
  <c r="AH98" i="35" s="1"/>
  <c r="AG99" i="35"/>
  <c r="AG98" i="35" s="1"/>
  <c r="AF99" i="35"/>
  <c r="AC99" i="35"/>
  <c r="AB99" i="35"/>
  <c r="AA99" i="35"/>
  <c r="AA98" i="35" s="1"/>
  <c r="Y99" i="35"/>
  <c r="X99" i="35"/>
  <c r="W99" i="35"/>
  <c r="V99" i="35"/>
  <c r="U99" i="35"/>
  <c r="T99" i="35"/>
  <c r="AP98" i="35"/>
  <c r="W98" i="35"/>
  <c r="AP93" i="35"/>
  <c r="AO93" i="35"/>
  <c r="AN93" i="35"/>
  <c r="AM93" i="35"/>
  <c r="AK93" i="35"/>
  <c r="AJ93" i="35"/>
  <c r="AI93" i="35"/>
  <c r="AH93" i="35"/>
  <c r="AG93" i="35"/>
  <c r="AF93" i="35"/>
  <c r="AC93" i="35"/>
  <c r="AB93" i="35"/>
  <c r="AA93" i="35"/>
  <c r="Y93" i="35"/>
  <c r="X93" i="35"/>
  <c r="W93" i="35"/>
  <c r="V93" i="35"/>
  <c r="U93" i="35"/>
  <c r="T93" i="35"/>
  <c r="AP90" i="35"/>
  <c r="AO90" i="35"/>
  <c r="AN90" i="35"/>
  <c r="AN89" i="35" s="1"/>
  <c r="AM90" i="35"/>
  <c r="AK90" i="35"/>
  <c r="AJ90" i="35"/>
  <c r="AI90" i="35"/>
  <c r="AI89" i="35" s="1"/>
  <c r="AH90" i="35"/>
  <c r="AG90" i="35"/>
  <c r="AG89" i="35" s="1"/>
  <c r="AC90" i="35"/>
  <c r="AB90" i="35"/>
  <c r="AA90" i="35"/>
  <c r="AA89" i="35" s="1"/>
  <c r="Y90" i="35"/>
  <c r="O90" i="35" s="1"/>
  <c r="X90" i="35"/>
  <c r="W90" i="35"/>
  <c r="W89" i="35" s="1"/>
  <c r="V90" i="35"/>
  <c r="V89" i="35" s="1"/>
  <c r="U90" i="35"/>
  <c r="T90" i="35"/>
  <c r="AO89" i="35"/>
  <c r="AP85" i="35"/>
  <c r="AO85" i="35"/>
  <c r="AN85" i="35"/>
  <c r="AM85" i="35"/>
  <c r="AK85" i="35"/>
  <c r="AJ85" i="35"/>
  <c r="AI85" i="35"/>
  <c r="AH85" i="35"/>
  <c r="AG85" i="35"/>
  <c r="AC85" i="35"/>
  <c r="AB85" i="35"/>
  <c r="AA85" i="35"/>
  <c r="Y85" i="35"/>
  <c r="O85" i="35" s="1"/>
  <c r="N85" i="35" s="1"/>
  <c r="X85" i="35"/>
  <c r="W85" i="35"/>
  <c r="V85" i="35"/>
  <c r="U85" i="35"/>
  <c r="T85" i="35"/>
  <c r="AP79" i="35"/>
  <c r="AO79" i="35"/>
  <c r="AN79" i="35"/>
  <c r="AM79" i="35"/>
  <c r="AK79" i="35"/>
  <c r="AJ79" i="35"/>
  <c r="AI79" i="35"/>
  <c r="AH79" i="35"/>
  <c r="AG79" i="35"/>
  <c r="AC79" i="35"/>
  <c r="AB79" i="35"/>
  <c r="AA79" i="35"/>
  <c r="Y79" i="35"/>
  <c r="O79" i="35" s="1"/>
  <c r="X79" i="35"/>
  <c r="W79" i="35"/>
  <c r="V79" i="35"/>
  <c r="U79" i="35"/>
  <c r="T79" i="35"/>
  <c r="S79" i="35"/>
  <c r="AP71" i="35"/>
  <c r="AO71" i="35"/>
  <c r="AN71" i="35"/>
  <c r="AM71" i="35"/>
  <c r="AK71" i="35"/>
  <c r="AJ71" i="35"/>
  <c r="AI71" i="35"/>
  <c r="AH71" i="35"/>
  <c r="AG71" i="35"/>
  <c r="AC71" i="35"/>
  <c r="AB71" i="35"/>
  <c r="AA71" i="35"/>
  <c r="Y71" i="35"/>
  <c r="X71" i="35"/>
  <c r="W71" i="35"/>
  <c r="V71" i="35"/>
  <c r="U71" i="35"/>
  <c r="T71" i="35"/>
  <c r="AP68" i="35"/>
  <c r="AO68" i="35"/>
  <c r="AO67" i="35" s="1"/>
  <c r="AN68" i="35"/>
  <c r="AM68" i="35"/>
  <c r="AM67" i="35" s="1"/>
  <c r="AK68" i="35"/>
  <c r="AJ68" i="35"/>
  <c r="AJ67" i="35" s="1"/>
  <c r="AI68" i="35"/>
  <c r="AH68" i="35"/>
  <c r="AG68" i="35"/>
  <c r="AC68" i="35"/>
  <c r="AB68" i="35"/>
  <c r="AA68" i="35"/>
  <c r="Z68" i="35"/>
  <c r="Y68" i="35"/>
  <c r="X68" i="35"/>
  <c r="W68" i="35"/>
  <c r="V68" i="35"/>
  <c r="U68" i="35"/>
  <c r="T68" i="35"/>
  <c r="R68" i="35"/>
  <c r="AP61" i="35"/>
  <c r="AO61" i="35"/>
  <c r="AN61" i="35"/>
  <c r="AM61" i="35"/>
  <c r="AK61" i="35"/>
  <c r="AJ61" i="35"/>
  <c r="AI61" i="35"/>
  <c r="AH61" i="35"/>
  <c r="AG61" i="35"/>
  <c r="AC61" i="35"/>
  <c r="AB61" i="35"/>
  <c r="AA61" i="35"/>
  <c r="Y61" i="35"/>
  <c r="X61" i="35"/>
  <c r="W61" i="35"/>
  <c r="V61" i="35"/>
  <c r="U61" i="35"/>
  <c r="T61" i="35"/>
  <c r="AP54" i="35"/>
  <c r="AO54" i="35"/>
  <c r="AN54" i="35"/>
  <c r="AM54" i="35"/>
  <c r="AK54" i="35"/>
  <c r="AJ54" i="35"/>
  <c r="AI54" i="35"/>
  <c r="AH54" i="35"/>
  <c r="AG54" i="35"/>
  <c r="AC54" i="35"/>
  <c r="AB54" i="35"/>
  <c r="AA54" i="35"/>
  <c r="Y54" i="35"/>
  <c r="O54" i="35" s="1"/>
  <c r="X54" i="35"/>
  <c r="W54" i="35"/>
  <c r="V54" i="35"/>
  <c r="U54" i="35"/>
  <c r="T54" i="35"/>
  <c r="AP51" i="35"/>
  <c r="AO51" i="35"/>
  <c r="AN51" i="35"/>
  <c r="AM51" i="35"/>
  <c r="AK51" i="35"/>
  <c r="AJ51" i="35"/>
  <c r="AI51" i="35"/>
  <c r="AH51" i="35"/>
  <c r="AG51" i="35"/>
  <c r="AC51" i="35"/>
  <c r="AB51" i="35"/>
  <c r="AA51" i="35"/>
  <c r="Y51" i="35"/>
  <c r="O51" i="35" s="1"/>
  <c r="X51" i="35"/>
  <c r="W51" i="35"/>
  <c r="V51" i="35"/>
  <c r="U51" i="35"/>
  <c r="T51" i="35"/>
  <c r="AP48" i="35"/>
  <c r="AO48" i="35"/>
  <c r="AN48" i="35"/>
  <c r="AM48" i="35"/>
  <c r="AK48" i="35"/>
  <c r="AJ48" i="35"/>
  <c r="AI48" i="35"/>
  <c r="AH48" i="35"/>
  <c r="AG48" i="35"/>
  <c r="AG47" i="35" s="1"/>
  <c r="AC48" i="35"/>
  <c r="AB48" i="35"/>
  <c r="AA48" i="35"/>
  <c r="Y48" i="35"/>
  <c r="X48" i="35"/>
  <c r="W48" i="35"/>
  <c r="V48" i="35"/>
  <c r="U48" i="35"/>
  <c r="T48" i="35"/>
  <c r="AP41" i="35"/>
  <c r="AM41" i="35"/>
  <c r="AI41" i="35"/>
  <c r="AH41" i="35"/>
  <c r="AC41" i="35"/>
  <c r="AA41" i="35"/>
  <c r="V41" i="35"/>
  <c r="U41" i="35"/>
  <c r="AK41" i="35"/>
  <c r="X41" i="35"/>
  <c r="AI34" i="35"/>
  <c r="AH34" i="35"/>
  <c r="W34" i="35"/>
  <c r="AK34" i="35"/>
  <c r="AB34" i="35"/>
  <c r="X34" i="35"/>
  <c r="T34" i="35"/>
  <c r="AP21" i="35"/>
  <c r="AO21" i="35"/>
  <c r="AN21" i="35"/>
  <c r="AM21" i="35"/>
  <c r="AK21" i="35"/>
  <c r="AJ21" i="35"/>
  <c r="AI21" i="35"/>
  <c r="AH21" i="35"/>
  <c r="AG21" i="35"/>
  <c r="AC21" i="35"/>
  <c r="AB21" i="35"/>
  <c r="AA21" i="35"/>
  <c r="Y21" i="35"/>
  <c r="X21" i="35"/>
  <c r="W21" i="35"/>
  <c r="V21" i="35"/>
  <c r="U21" i="35"/>
  <c r="T21" i="35"/>
  <c r="AP16" i="35"/>
  <c r="AO16" i="35"/>
  <c r="AN16" i="35"/>
  <c r="AM16" i="35"/>
  <c r="AK16" i="35"/>
  <c r="AJ16" i="35"/>
  <c r="AI16" i="35"/>
  <c r="AH16" i="35"/>
  <c r="AG16" i="35"/>
  <c r="AC16" i="35"/>
  <c r="AB16" i="35"/>
  <c r="AA16" i="35"/>
  <c r="Y16" i="35"/>
  <c r="O16" i="35" s="1"/>
  <c r="N16" i="35" s="1"/>
  <c r="X16" i="35"/>
  <c r="W16" i="35"/>
  <c r="V16" i="35"/>
  <c r="U16" i="35"/>
  <c r="T16" i="35"/>
  <c r="J167" i="35"/>
  <c r="J170" i="35"/>
  <c r="C175" i="35"/>
  <c r="C162" i="35"/>
  <c r="G202" i="35"/>
  <c r="H196" i="35"/>
  <c r="C196" i="35" s="1"/>
  <c r="H195" i="35"/>
  <c r="E195" i="35"/>
  <c r="H194" i="35"/>
  <c r="E194" i="35"/>
  <c r="H193" i="35"/>
  <c r="E193" i="35"/>
  <c r="H192" i="35"/>
  <c r="E192" i="35"/>
  <c r="H191" i="35"/>
  <c r="E191" i="35"/>
  <c r="J190" i="35"/>
  <c r="I190" i="35"/>
  <c r="G190" i="35"/>
  <c r="F190" i="35"/>
  <c r="H189" i="35"/>
  <c r="E189" i="35"/>
  <c r="H188" i="35"/>
  <c r="E188" i="35"/>
  <c r="H187" i="35"/>
  <c r="E187" i="35"/>
  <c r="H186" i="35"/>
  <c r="E186" i="35"/>
  <c r="H185" i="35"/>
  <c r="E185" i="35"/>
  <c r="J184" i="35"/>
  <c r="I184" i="35"/>
  <c r="G184" i="35"/>
  <c r="F184" i="35"/>
  <c r="H183" i="35"/>
  <c r="E183" i="35"/>
  <c r="H182" i="35"/>
  <c r="E182" i="35"/>
  <c r="H181" i="35"/>
  <c r="E181" i="35"/>
  <c r="H180" i="35"/>
  <c r="E180" i="35"/>
  <c r="H179" i="35"/>
  <c r="E179" i="35"/>
  <c r="H178" i="35"/>
  <c r="E178" i="35"/>
  <c r="H177" i="35"/>
  <c r="E177" i="35"/>
  <c r="J176" i="35"/>
  <c r="I176" i="35"/>
  <c r="G176" i="35"/>
  <c r="F176" i="35"/>
  <c r="H174" i="35"/>
  <c r="G174" i="35"/>
  <c r="E174" i="35" s="1"/>
  <c r="H173" i="35"/>
  <c r="H172" i="35"/>
  <c r="G172" i="35"/>
  <c r="G173" i="35" s="1"/>
  <c r="E173" i="35" s="1"/>
  <c r="H171" i="35"/>
  <c r="E171" i="35"/>
  <c r="I170" i="35"/>
  <c r="F170" i="35"/>
  <c r="H169" i="35"/>
  <c r="E169" i="35"/>
  <c r="H168" i="35"/>
  <c r="E168" i="35"/>
  <c r="I167" i="35"/>
  <c r="G167" i="35"/>
  <c r="F167" i="35"/>
  <c r="H165" i="35"/>
  <c r="E165" i="35"/>
  <c r="H164" i="35"/>
  <c r="H163" i="35"/>
  <c r="G163" i="35"/>
  <c r="G164" i="35" s="1"/>
  <c r="E164" i="35" s="1"/>
  <c r="E161" i="35"/>
  <c r="C161" i="35" s="1"/>
  <c r="G160" i="35"/>
  <c r="E160" i="35" s="1"/>
  <c r="H159" i="35"/>
  <c r="E159" i="35"/>
  <c r="J158" i="35"/>
  <c r="I158" i="35"/>
  <c r="F158" i="35"/>
  <c r="H157" i="35"/>
  <c r="F157" i="35"/>
  <c r="E157" i="35" s="1"/>
  <c r="I156" i="35"/>
  <c r="H156" i="35" s="1"/>
  <c r="F156" i="35"/>
  <c r="E156" i="35" s="1"/>
  <c r="J155" i="35"/>
  <c r="G155" i="35"/>
  <c r="H153" i="35"/>
  <c r="H152" i="35"/>
  <c r="G152" i="35"/>
  <c r="E152" i="35" s="1"/>
  <c r="H151" i="35"/>
  <c r="E151" i="35"/>
  <c r="J150" i="35"/>
  <c r="I150" i="35"/>
  <c r="F150" i="35"/>
  <c r="H149" i="35"/>
  <c r="F149" i="35"/>
  <c r="F147" i="35" s="1"/>
  <c r="H148" i="35"/>
  <c r="E148" i="35"/>
  <c r="J147" i="35"/>
  <c r="I147" i="35"/>
  <c r="G147" i="35"/>
  <c r="H145" i="35"/>
  <c r="H144" i="35"/>
  <c r="E144" i="35"/>
  <c r="H143" i="35"/>
  <c r="G143" i="35"/>
  <c r="E143" i="35" s="1"/>
  <c r="E142" i="35"/>
  <c r="H141" i="35"/>
  <c r="E141" i="35"/>
  <c r="J140" i="35"/>
  <c r="I140" i="35"/>
  <c r="F140" i="35"/>
  <c r="H139" i="35"/>
  <c r="E139" i="35" s="1"/>
  <c r="C139" i="35" s="1"/>
  <c r="H137" i="35"/>
  <c r="E137" i="35" s="1"/>
  <c r="C137" i="35" s="1"/>
  <c r="H136" i="35"/>
  <c r="E136" i="35" s="1"/>
  <c r="C136" i="35" s="1"/>
  <c r="J135" i="35"/>
  <c r="I135" i="35"/>
  <c r="F135" i="35"/>
  <c r="F134" i="35"/>
  <c r="I133" i="35"/>
  <c r="E133" i="35"/>
  <c r="J132" i="35"/>
  <c r="G132" i="35"/>
  <c r="H130" i="35"/>
  <c r="H129" i="35"/>
  <c r="G129" i="35"/>
  <c r="G130" i="35" s="1"/>
  <c r="E130" i="35" s="1"/>
  <c r="E128" i="35"/>
  <c r="H127" i="35"/>
  <c r="E127" i="35"/>
  <c r="J126" i="35"/>
  <c r="I126" i="35"/>
  <c r="F126" i="35"/>
  <c r="H125" i="35"/>
  <c r="E125" i="35" s="1"/>
  <c r="C125" i="35" s="1"/>
  <c r="H123" i="35"/>
  <c r="I121" i="35"/>
  <c r="F121" i="35"/>
  <c r="H120" i="35"/>
  <c r="E120" i="35" s="1"/>
  <c r="C120" i="35" s="1"/>
  <c r="H119" i="35"/>
  <c r="E119" i="35" s="1"/>
  <c r="C119" i="35" s="1"/>
  <c r="J118" i="35"/>
  <c r="H117" i="35"/>
  <c r="F117" i="35"/>
  <c r="F115" i="35" s="1"/>
  <c r="I116" i="35"/>
  <c r="H116" i="35" s="1"/>
  <c r="E116" i="35"/>
  <c r="J115" i="35"/>
  <c r="G115" i="35"/>
  <c r="H113" i="35"/>
  <c r="H112" i="35"/>
  <c r="G112" i="35"/>
  <c r="G113" i="35" s="1"/>
  <c r="H111" i="35"/>
  <c r="E111" i="35"/>
  <c r="J110" i="35"/>
  <c r="I110" i="35"/>
  <c r="F110" i="35"/>
  <c r="H109" i="35"/>
  <c r="F109" i="35"/>
  <c r="E109" i="35" s="1"/>
  <c r="H108" i="35"/>
  <c r="E108" i="35"/>
  <c r="J107" i="35"/>
  <c r="I107" i="35"/>
  <c r="G107" i="35"/>
  <c r="H105" i="35"/>
  <c r="H104" i="35"/>
  <c r="G104" i="35"/>
  <c r="G105" i="35" s="1"/>
  <c r="H103" i="35"/>
  <c r="E103" i="35"/>
  <c r="J102" i="35"/>
  <c r="I102" i="35"/>
  <c r="F102" i="35"/>
  <c r="H101" i="35"/>
  <c r="E101" i="35"/>
  <c r="H100" i="35"/>
  <c r="F100" i="35"/>
  <c r="E100" i="35" s="1"/>
  <c r="J99" i="35"/>
  <c r="I99" i="35"/>
  <c r="G99" i="35"/>
  <c r="H97" i="35"/>
  <c r="H96" i="35"/>
  <c r="G96" i="35"/>
  <c r="E96" i="35" s="1"/>
  <c r="E95" i="35"/>
  <c r="H94" i="35"/>
  <c r="E94" i="35"/>
  <c r="J93" i="35"/>
  <c r="I93" i="35"/>
  <c r="F93" i="35"/>
  <c r="H92" i="35"/>
  <c r="F92" i="35"/>
  <c r="E92" i="35" s="1"/>
  <c r="H91" i="35"/>
  <c r="F91" i="35"/>
  <c r="E91" i="35" s="1"/>
  <c r="J90" i="35"/>
  <c r="I90" i="35"/>
  <c r="G90" i="35"/>
  <c r="E88" i="35"/>
  <c r="C88" i="35" s="1"/>
  <c r="H87" i="35"/>
  <c r="G87" i="35"/>
  <c r="E87" i="35" s="1"/>
  <c r="H86" i="35"/>
  <c r="F86" i="35"/>
  <c r="E86" i="35" s="1"/>
  <c r="J85" i="35"/>
  <c r="I85" i="35"/>
  <c r="H84" i="35"/>
  <c r="G84" i="35"/>
  <c r="E83" i="35"/>
  <c r="C83" i="35" s="1"/>
  <c r="E82" i="35"/>
  <c r="C82" i="35" s="1"/>
  <c r="E81" i="35"/>
  <c r="E80" i="35"/>
  <c r="J79" i="35"/>
  <c r="I79" i="35"/>
  <c r="G79" i="35"/>
  <c r="F79" i="35"/>
  <c r="H78" i="35"/>
  <c r="E78" i="35" s="1"/>
  <c r="C78" i="35" s="1"/>
  <c r="H77" i="35"/>
  <c r="H75" i="35"/>
  <c r="E75" i="35" s="1"/>
  <c r="H74" i="35"/>
  <c r="E74" i="35" s="1"/>
  <c r="C74" i="35" s="1"/>
  <c r="H73" i="35"/>
  <c r="E73" i="35" s="1"/>
  <c r="C73" i="35" s="1"/>
  <c r="H72" i="35"/>
  <c r="E72" i="35" s="1"/>
  <c r="C72" i="35" s="1"/>
  <c r="J71" i="35"/>
  <c r="I71" i="35"/>
  <c r="F71" i="35"/>
  <c r="H70" i="35"/>
  <c r="E70" i="35"/>
  <c r="H69" i="35"/>
  <c r="E69" i="35"/>
  <c r="J68" i="35"/>
  <c r="I68" i="35"/>
  <c r="G68" i="35"/>
  <c r="F68" i="35"/>
  <c r="H66" i="35"/>
  <c r="H65" i="35"/>
  <c r="G65" i="35"/>
  <c r="G66" i="35" s="1"/>
  <c r="E66" i="35" s="1"/>
  <c r="E64" i="35"/>
  <c r="C64" i="35" s="1"/>
  <c r="H63" i="35"/>
  <c r="G63" i="35"/>
  <c r="H62" i="35"/>
  <c r="E62" i="35"/>
  <c r="J61" i="35"/>
  <c r="I61" i="35"/>
  <c r="F61" i="35"/>
  <c r="H60" i="35"/>
  <c r="E60" i="35" s="1"/>
  <c r="C60" i="35" s="1"/>
  <c r="H59" i="35"/>
  <c r="E59" i="35" s="1"/>
  <c r="C59" i="35" s="1"/>
  <c r="H58" i="35"/>
  <c r="E58" i="35" s="1"/>
  <c r="C58" i="35" s="1"/>
  <c r="H57" i="35"/>
  <c r="E57" i="35" s="1"/>
  <c r="C57" i="35" s="1"/>
  <c r="H56" i="35"/>
  <c r="H55" i="35"/>
  <c r="J54" i="35"/>
  <c r="I54" i="35"/>
  <c r="F54" i="35"/>
  <c r="H53" i="35"/>
  <c r="F53" i="35"/>
  <c r="H52" i="35"/>
  <c r="E52" i="35"/>
  <c r="J51" i="35"/>
  <c r="I51" i="35"/>
  <c r="G51" i="35"/>
  <c r="F50" i="35"/>
  <c r="H49" i="35"/>
  <c r="E49" i="35"/>
  <c r="J48" i="35"/>
  <c r="G48" i="35"/>
  <c r="H46" i="35"/>
  <c r="H45" i="35"/>
  <c r="G45" i="35"/>
  <c r="G46" i="35" s="1"/>
  <c r="I44" i="35"/>
  <c r="I42" i="35" s="1"/>
  <c r="H42" i="35" s="1"/>
  <c r="E44" i="35"/>
  <c r="H43" i="35"/>
  <c r="E43" i="35"/>
  <c r="J41" i="35"/>
  <c r="H40" i="35"/>
  <c r="H39" i="35"/>
  <c r="G39" i="35"/>
  <c r="G40" i="35" s="1"/>
  <c r="E40" i="35" s="1"/>
  <c r="H37" i="35"/>
  <c r="E37" i="35"/>
  <c r="H36" i="35"/>
  <c r="H35" i="35" s="1"/>
  <c r="F36" i="35"/>
  <c r="E36" i="35" s="1"/>
  <c r="H31" i="35"/>
  <c r="E31" i="35"/>
  <c r="H30" i="35"/>
  <c r="F30" i="35"/>
  <c r="E30" i="35" s="1"/>
  <c r="H29" i="35"/>
  <c r="E29" i="35"/>
  <c r="H28" i="35"/>
  <c r="E28" i="35"/>
  <c r="H27" i="35"/>
  <c r="G27" i="35"/>
  <c r="E27" i="35" s="1"/>
  <c r="H26" i="35"/>
  <c r="E26" i="35"/>
  <c r="H25" i="35"/>
  <c r="E25" i="35"/>
  <c r="H24" i="35"/>
  <c r="E24" i="35"/>
  <c r="H23" i="35"/>
  <c r="E23" i="35"/>
  <c r="H22" i="35"/>
  <c r="E22" i="35"/>
  <c r="J21" i="35"/>
  <c r="I21" i="35"/>
  <c r="G21" i="35"/>
  <c r="F21" i="35"/>
  <c r="F15" i="35" s="1"/>
  <c r="H20" i="35"/>
  <c r="H19" i="35"/>
  <c r="E19" i="35"/>
  <c r="H18" i="35"/>
  <c r="E18" i="35"/>
  <c r="H17" i="35"/>
  <c r="E17" i="35"/>
  <c r="J16" i="35"/>
  <c r="I16" i="35"/>
  <c r="G16" i="35"/>
  <c r="E16" i="35" s="1"/>
  <c r="H14" i="35"/>
  <c r="E14" i="35"/>
  <c r="H13" i="35"/>
  <c r="E13" i="35"/>
  <c r="H12" i="35"/>
  <c r="E12" i="35"/>
  <c r="I11" i="35"/>
  <c r="H11" i="35" s="1"/>
  <c r="H187" i="27"/>
  <c r="G187" i="27"/>
  <c r="H172" i="27"/>
  <c r="G172" i="27"/>
  <c r="H163" i="27"/>
  <c r="G163" i="27"/>
  <c r="H151" i="27"/>
  <c r="G151" i="27"/>
  <c r="H143" i="27"/>
  <c r="G143" i="27"/>
  <c r="H129" i="27"/>
  <c r="G129" i="27"/>
  <c r="H114" i="27"/>
  <c r="G114" i="27"/>
  <c r="H106" i="27"/>
  <c r="G106" i="27"/>
  <c r="H98" i="27"/>
  <c r="G98" i="27"/>
  <c r="H89" i="27"/>
  <c r="G89" i="27"/>
  <c r="H85" i="27"/>
  <c r="G85" i="27"/>
  <c r="H68" i="27"/>
  <c r="G68" i="27"/>
  <c r="H48" i="27"/>
  <c r="G48" i="27"/>
  <c r="H42" i="27"/>
  <c r="G42" i="27"/>
  <c r="H36" i="27"/>
  <c r="H34" i="27" s="1"/>
  <c r="G36" i="27"/>
  <c r="G34" i="27" s="1"/>
  <c r="H12" i="27"/>
  <c r="H11" i="27" s="1"/>
  <c r="G12" i="27"/>
  <c r="G11" i="27" s="1"/>
  <c r="J187" i="27"/>
  <c r="I187" i="27"/>
  <c r="F187" i="27"/>
  <c r="E187" i="27"/>
  <c r="J172" i="27"/>
  <c r="I172" i="27"/>
  <c r="F172" i="27"/>
  <c r="E172" i="27"/>
  <c r="J163" i="27"/>
  <c r="I163" i="27"/>
  <c r="F163" i="27"/>
  <c r="E163" i="27"/>
  <c r="J151" i="27"/>
  <c r="I151" i="27"/>
  <c r="F151" i="27"/>
  <c r="E151" i="27"/>
  <c r="J143" i="27"/>
  <c r="I143" i="27"/>
  <c r="F143" i="27"/>
  <c r="E143" i="27"/>
  <c r="J129" i="27"/>
  <c r="I129" i="27"/>
  <c r="F129" i="27"/>
  <c r="E129" i="27"/>
  <c r="J114" i="27"/>
  <c r="I114" i="27"/>
  <c r="F114" i="27"/>
  <c r="E114" i="27"/>
  <c r="J106" i="27"/>
  <c r="I106" i="27"/>
  <c r="F106" i="27"/>
  <c r="E106" i="27"/>
  <c r="J98" i="27"/>
  <c r="I98" i="27"/>
  <c r="F98" i="27"/>
  <c r="E98" i="27"/>
  <c r="J89" i="27"/>
  <c r="I89" i="27"/>
  <c r="F89" i="27"/>
  <c r="E89" i="27"/>
  <c r="J85" i="27"/>
  <c r="I85" i="27"/>
  <c r="F85" i="27"/>
  <c r="E85" i="27"/>
  <c r="J68" i="27"/>
  <c r="I68" i="27"/>
  <c r="F68" i="27"/>
  <c r="E68" i="27"/>
  <c r="J48" i="27"/>
  <c r="I48" i="27"/>
  <c r="F48" i="27"/>
  <c r="E48" i="27"/>
  <c r="J42" i="27"/>
  <c r="I42" i="27"/>
  <c r="F42" i="27"/>
  <c r="E42" i="27"/>
  <c r="J36" i="27"/>
  <c r="J34" i="27" s="1"/>
  <c r="I36" i="27"/>
  <c r="I34" i="27" s="1"/>
  <c r="F36" i="27"/>
  <c r="F34" i="27" s="1"/>
  <c r="E36" i="27"/>
  <c r="E34" i="27"/>
  <c r="J12" i="27"/>
  <c r="J11" i="27" s="1"/>
  <c r="I12" i="27"/>
  <c r="F12" i="27"/>
  <c r="E12" i="27"/>
  <c r="I11" i="27"/>
  <c r="F11" i="27"/>
  <c r="E11" i="27"/>
  <c r="E10" i="27" s="1"/>
  <c r="D187" i="27"/>
  <c r="D172" i="27"/>
  <c r="C172" i="27" s="1"/>
  <c r="D163" i="27"/>
  <c r="D151" i="27"/>
  <c r="D143" i="27"/>
  <c r="D129" i="27"/>
  <c r="D114" i="27"/>
  <c r="D106" i="27"/>
  <c r="D98" i="27"/>
  <c r="D89" i="27"/>
  <c r="D85" i="27"/>
  <c r="D68" i="27"/>
  <c r="D48" i="27"/>
  <c r="D42" i="27"/>
  <c r="C42" i="27" s="1"/>
  <c r="D36" i="27"/>
  <c r="D12" i="27"/>
  <c r="C193" i="27"/>
  <c r="C192" i="27"/>
  <c r="C191" i="27"/>
  <c r="C190" i="27"/>
  <c r="C189" i="27"/>
  <c r="C188" i="27"/>
  <c r="C186" i="27"/>
  <c r="C185" i="27"/>
  <c r="C184" i="27"/>
  <c r="C183" i="27"/>
  <c r="C182" i="27"/>
  <c r="C181" i="27"/>
  <c r="C180" i="27"/>
  <c r="C179" i="27"/>
  <c r="C178" i="27"/>
  <c r="C177" i="27"/>
  <c r="C176" i="27"/>
  <c r="C175" i="27"/>
  <c r="C174" i="27"/>
  <c r="C173" i="27"/>
  <c r="C171" i="27"/>
  <c r="C170" i="27"/>
  <c r="C169" i="27"/>
  <c r="C168" i="27"/>
  <c r="C167" i="27"/>
  <c r="C166" i="27"/>
  <c r="C165" i="27"/>
  <c r="C164" i="27"/>
  <c r="C162" i="27"/>
  <c r="C161" i="27"/>
  <c r="C160" i="27"/>
  <c r="C159" i="27"/>
  <c r="C158" i="27"/>
  <c r="C157" i="27"/>
  <c r="C156" i="27"/>
  <c r="C155" i="27"/>
  <c r="C154" i="27"/>
  <c r="C153" i="27"/>
  <c r="C152" i="27"/>
  <c r="C150" i="27"/>
  <c r="C149" i="27"/>
  <c r="C148" i="27"/>
  <c r="C147" i="27"/>
  <c r="C146" i="27"/>
  <c r="C145" i="27"/>
  <c r="C144" i="27"/>
  <c r="C142" i="27"/>
  <c r="C141" i="27"/>
  <c r="C140" i="27"/>
  <c r="C139" i="27"/>
  <c r="C138" i="27"/>
  <c r="C137" i="27"/>
  <c r="C136" i="27"/>
  <c r="C135" i="27"/>
  <c r="C134" i="27"/>
  <c r="C133" i="27"/>
  <c r="C132" i="27"/>
  <c r="C131" i="27"/>
  <c r="C130" i="27"/>
  <c r="C128" i="27"/>
  <c r="C127" i="27"/>
  <c r="C126" i="27"/>
  <c r="C125" i="27"/>
  <c r="C124" i="27"/>
  <c r="C123" i="27"/>
  <c r="C122" i="27"/>
  <c r="C121" i="27"/>
  <c r="C120" i="27"/>
  <c r="C119" i="27"/>
  <c r="C118" i="27"/>
  <c r="C117" i="27"/>
  <c r="C116" i="27"/>
  <c r="C115" i="27"/>
  <c r="C113" i="27"/>
  <c r="C112" i="27"/>
  <c r="C111" i="27"/>
  <c r="C110" i="27"/>
  <c r="C109" i="27"/>
  <c r="C108" i="27"/>
  <c r="C107" i="27"/>
  <c r="C105" i="27"/>
  <c r="C104" i="27"/>
  <c r="C103" i="27"/>
  <c r="C102" i="27"/>
  <c r="C101" i="27"/>
  <c r="C100" i="27"/>
  <c r="C99" i="27"/>
  <c r="C97" i="27"/>
  <c r="C96" i="27"/>
  <c r="C95" i="27"/>
  <c r="C94" i="27"/>
  <c r="C93" i="27"/>
  <c r="C92" i="27"/>
  <c r="C91" i="27"/>
  <c r="C90" i="27"/>
  <c r="C88" i="27"/>
  <c r="C87" i="27"/>
  <c r="C86" i="27"/>
  <c r="C84" i="27"/>
  <c r="C83" i="27"/>
  <c r="C82" i="27"/>
  <c r="C81" i="27"/>
  <c r="C80" i="27"/>
  <c r="C79" i="27"/>
  <c r="C78" i="27"/>
  <c r="C77" i="27"/>
  <c r="C76" i="27"/>
  <c r="C75" i="27"/>
  <c r="C74" i="27"/>
  <c r="C73" i="27"/>
  <c r="C72" i="27"/>
  <c r="C71" i="27"/>
  <c r="C70" i="27"/>
  <c r="C69" i="27"/>
  <c r="C67" i="27"/>
  <c r="C66" i="27"/>
  <c r="C65" i="27"/>
  <c r="C64" i="27"/>
  <c r="C63" i="27"/>
  <c r="C62" i="27"/>
  <c r="C61" i="27"/>
  <c r="C60" i="27"/>
  <c r="C59" i="27"/>
  <c r="C58" i="27"/>
  <c r="C57" i="27"/>
  <c r="C56" i="27"/>
  <c r="C55" i="27"/>
  <c r="C54" i="27"/>
  <c r="C53" i="27"/>
  <c r="C52" i="27"/>
  <c r="C51" i="27"/>
  <c r="C50" i="27"/>
  <c r="C49" i="27"/>
  <c r="C47" i="27"/>
  <c r="C46" i="27"/>
  <c r="C45" i="27"/>
  <c r="C44" i="27"/>
  <c r="C43" i="27"/>
  <c r="C41" i="27"/>
  <c r="C40" i="27"/>
  <c r="C39" i="27"/>
  <c r="C38" i="27"/>
  <c r="C37" i="27"/>
  <c r="C35" i="27"/>
  <c r="C33" i="27"/>
  <c r="C32" i="27"/>
  <c r="C31" i="27"/>
  <c r="C30" i="27"/>
  <c r="C29" i="27"/>
  <c r="C28" i="27"/>
  <c r="C27" i="27"/>
  <c r="C26" i="27"/>
  <c r="C25" i="27"/>
  <c r="C24" i="27"/>
  <c r="C23" i="27"/>
  <c r="C22" i="27"/>
  <c r="C21" i="27"/>
  <c r="C20" i="27"/>
  <c r="C19" i="27"/>
  <c r="C18" i="27"/>
  <c r="C17" i="27"/>
  <c r="C16" i="27"/>
  <c r="C15" i="27"/>
  <c r="C14" i="27"/>
  <c r="C13" i="27"/>
  <c r="AH36" i="27"/>
  <c r="Q140" i="27"/>
  <c r="P32" i="27"/>
  <c r="T26" i="27"/>
  <c r="AG194" i="27"/>
  <c r="AG159" i="27"/>
  <c r="V13" i="27"/>
  <c r="Y36" i="27"/>
  <c r="Y37" i="27"/>
  <c r="AE52" i="27"/>
  <c r="AE48" i="27" s="1"/>
  <c r="AA52" i="27"/>
  <c r="AA48" i="27" s="1"/>
  <c r="AE69" i="27"/>
  <c r="AE68" i="27" s="1"/>
  <c r="AE72" i="27"/>
  <c r="AA69" i="27"/>
  <c r="AA72" i="27"/>
  <c r="AE115" i="27"/>
  <c r="AE114" i="27" s="1"/>
  <c r="AA115" i="27"/>
  <c r="AA114" i="27" s="1"/>
  <c r="AE155" i="27"/>
  <c r="AE151" i="27" s="1"/>
  <c r="AA155" i="27"/>
  <c r="AA151" i="27" s="1"/>
  <c r="AE144" i="27"/>
  <c r="AE143" i="27" s="1"/>
  <c r="AE147" i="27"/>
  <c r="AA144" i="27"/>
  <c r="AA147" i="27"/>
  <c r="AA130" i="27"/>
  <c r="AA129" i="27" s="1"/>
  <c r="AE130" i="27"/>
  <c r="AE129" i="27" s="1"/>
  <c r="AE173" i="27"/>
  <c r="AA173" i="27"/>
  <c r="Z181" i="27"/>
  <c r="AA181" i="27"/>
  <c r="AB181" i="27"/>
  <c r="AD181" i="27"/>
  <c r="AE181" i="27"/>
  <c r="AF181" i="27"/>
  <c r="AA187" i="27"/>
  <c r="AC193" i="27"/>
  <c r="AC192" i="27"/>
  <c r="AC191" i="27"/>
  <c r="AC190" i="27"/>
  <c r="AC189" i="27"/>
  <c r="AC188" i="27"/>
  <c r="AC186" i="27"/>
  <c r="AC185" i="27"/>
  <c r="AC184" i="27"/>
  <c r="AC183" i="27"/>
  <c r="AC182" i="27"/>
  <c r="AC180" i="27"/>
  <c r="AC179" i="27"/>
  <c r="AC178" i="27"/>
  <c r="AC177" i="27"/>
  <c r="AC176" i="27"/>
  <c r="AC175" i="27"/>
  <c r="AC174" i="27"/>
  <c r="AC171" i="27"/>
  <c r="AC170" i="27"/>
  <c r="AC169" i="27"/>
  <c r="AC168" i="27"/>
  <c r="AC167" i="27"/>
  <c r="AC166" i="27"/>
  <c r="AC165" i="27"/>
  <c r="AC164" i="27"/>
  <c r="AC163" i="27"/>
  <c r="AC162" i="27"/>
  <c r="AC161" i="27"/>
  <c r="AC160" i="27"/>
  <c r="AC159" i="27"/>
  <c r="AC158" i="27"/>
  <c r="AC157" i="27"/>
  <c r="AC156" i="27"/>
  <c r="AC154" i="27"/>
  <c r="AC153" i="27"/>
  <c r="AC152" i="27"/>
  <c r="AC150" i="27"/>
  <c r="AC149" i="27"/>
  <c r="AC148" i="27"/>
  <c r="AC146" i="27"/>
  <c r="AC145" i="27"/>
  <c r="AC142" i="27"/>
  <c r="AC141" i="27"/>
  <c r="AC140" i="27"/>
  <c r="AC139" i="27"/>
  <c r="AC138" i="27"/>
  <c r="AC136" i="27"/>
  <c r="AC135" i="27"/>
  <c r="AC134" i="27"/>
  <c r="AC133" i="27"/>
  <c r="AC132" i="27"/>
  <c r="AC131" i="27"/>
  <c r="AC128" i="27"/>
  <c r="AC127" i="27"/>
  <c r="AC126" i="27"/>
  <c r="AC125" i="27"/>
  <c r="AC123" i="27"/>
  <c r="AC122" i="27"/>
  <c r="AC121" i="27"/>
  <c r="AC120" i="27"/>
  <c r="AC119" i="27"/>
  <c r="AC117" i="27"/>
  <c r="AC116" i="27"/>
  <c r="AC113" i="27"/>
  <c r="AC112" i="27"/>
  <c r="AC111" i="27"/>
  <c r="AC110" i="27"/>
  <c r="AC109" i="27"/>
  <c r="AC108" i="27"/>
  <c r="AC107" i="27"/>
  <c r="AC106" i="27"/>
  <c r="AC105" i="27"/>
  <c r="AC104" i="27"/>
  <c r="AC103" i="27"/>
  <c r="AC102" i="27"/>
  <c r="AC101" i="27"/>
  <c r="AC100" i="27"/>
  <c r="AC99" i="27"/>
  <c r="AC98" i="27"/>
  <c r="AC97" i="27"/>
  <c r="AC96" i="27"/>
  <c r="AC95" i="27"/>
  <c r="AC94" i="27"/>
  <c r="AC93" i="27"/>
  <c r="AC92" i="27"/>
  <c r="AC91" i="27"/>
  <c r="AC90" i="27"/>
  <c r="AC89" i="27"/>
  <c r="AC88" i="27"/>
  <c r="AC87" i="27"/>
  <c r="AC86" i="27"/>
  <c r="AC85" i="27"/>
  <c r="AC84" i="27"/>
  <c r="AC83" i="27"/>
  <c r="AC82" i="27"/>
  <c r="AC81" i="27"/>
  <c r="AC80" i="27"/>
  <c r="AC78" i="27"/>
  <c r="AC77" i="27"/>
  <c r="AC76" i="27"/>
  <c r="AC75" i="27"/>
  <c r="AC74" i="27"/>
  <c r="AC73" i="27"/>
  <c r="AC71" i="27"/>
  <c r="AC70" i="27"/>
  <c r="AC67" i="27"/>
  <c r="AC66" i="27"/>
  <c r="AC65" i="27"/>
  <c r="AC64" i="27"/>
  <c r="AC63" i="27"/>
  <c r="AC61" i="27"/>
  <c r="AC60" i="27"/>
  <c r="AC59" i="27"/>
  <c r="AC58" i="27"/>
  <c r="AC57" i="27"/>
  <c r="AC56" i="27"/>
  <c r="AC55" i="27"/>
  <c r="AC54" i="27"/>
  <c r="AC53" i="27"/>
  <c r="AC51" i="27"/>
  <c r="AC50" i="27"/>
  <c r="AC49" i="27"/>
  <c r="AC47" i="27"/>
  <c r="AC46" i="27"/>
  <c r="AC45" i="27"/>
  <c r="AC44" i="27"/>
  <c r="AC43" i="27"/>
  <c r="AC42" i="27"/>
  <c r="AC41" i="27"/>
  <c r="AC40" i="27"/>
  <c r="AC39" i="27"/>
  <c r="AC38" i="27"/>
  <c r="AC37" i="27"/>
  <c r="AC36" i="27"/>
  <c r="AC35" i="27"/>
  <c r="AC33" i="27"/>
  <c r="AC32" i="27"/>
  <c r="AC31" i="27"/>
  <c r="AC30" i="27"/>
  <c r="AC28" i="27"/>
  <c r="AC27" i="27"/>
  <c r="AC26" i="27"/>
  <c r="AC25" i="27"/>
  <c r="AC24" i="27"/>
  <c r="AC22" i="27"/>
  <c r="AC21" i="27"/>
  <c r="AC20" i="27"/>
  <c r="AC19" i="27"/>
  <c r="AC16" i="27"/>
  <c r="AC15" i="27"/>
  <c r="AC14" i="27"/>
  <c r="AC13" i="27"/>
  <c r="Y193" i="27"/>
  <c r="Y192" i="27"/>
  <c r="Y191" i="27"/>
  <c r="Y190" i="27"/>
  <c r="Y189" i="27"/>
  <c r="Y188" i="27"/>
  <c r="Y186" i="27"/>
  <c r="Y185" i="27"/>
  <c r="Y184" i="27"/>
  <c r="Y183" i="27"/>
  <c r="Y182" i="27"/>
  <c r="Y181" i="27" s="1"/>
  <c r="Y180" i="27"/>
  <c r="Y179" i="27"/>
  <c r="Y178" i="27"/>
  <c r="Y177" i="27"/>
  <c r="Y176" i="27"/>
  <c r="Y175" i="27"/>
  <c r="Y174" i="27"/>
  <c r="Y171" i="27"/>
  <c r="Y170" i="27"/>
  <c r="Y169" i="27"/>
  <c r="Y168" i="27"/>
  <c r="Y167" i="27"/>
  <c r="Y166" i="27"/>
  <c r="Y165" i="27"/>
  <c r="Y164" i="27"/>
  <c r="Y163" i="27"/>
  <c r="Y162" i="27"/>
  <c r="Y161" i="27"/>
  <c r="Y160" i="27"/>
  <c r="Y159" i="27"/>
  <c r="Y158" i="27"/>
  <c r="Y157" i="27"/>
  <c r="Y156" i="27"/>
  <c r="Y154" i="27"/>
  <c r="Y153" i="27"/>
  <c r="Y152" i="27"/>
  <c r="Y150" i="27"/>
  <c r="Y149" i="27"/>
  <c r="Y148" i="27"/>
  <c r="Y146" i="27"/>
  <c r="Y145" i="27"/>
  <c r="Y142" i="27"/>
  <c r="Y141" i="27"/>
  <c r="Y140" i="27"/>
  <c r="Y139" i="27"/>
  <c r="Y138" i="27"/>
  <c r="Y136" i="27"/>
  <c r="Y135" i="27"/>
  <c r="Y134" i="27"/>
  <c r="Y133" i="27"/>
  <c r="Y132" i="27"/>
  <c r="Y131" i="27"/>
  <c r="Y128" i="27"/>
  <c r="Y127" i="27"/>
  <c r="Y126" i="27"/>
  <c r="Y125" i="27"/>
  <c r="Y123" i="27"/>
  <c r="Y122" i="27"/>
  <c r="Y121" i="27"/>
  <c r="Y120" i="27"/>
  <c r="Y119" i="27"/>
  <c r="Y117" i="27"/>
  <c r="Y116" i="27"/>
  <c r="Y113" i="27"/>
  <c r="Y112" i="27"/>
  <c r="Y111" i="27"/>
  <c r="Y110" i="27"/>
  <c r="Y109" i="27"/>
  <c r="Y108" i="27"/>
  <c r="Y107" i="27"/>
  <c r="Y106" i="27"/>
  <c r="Y105" i="27"/>
  <c r="Y104" i="27"/>
  <c r="Y103" i="27"/>
  <c r="Y102" i="27"/>
  <c r="Y101" i="27"/>
  <c r="Y100" i="27"/>
  <c r="Y99" i="27"/>
  <c r="Y98" i="27"/>
  <c r="Y97" i="27"/>
  <c r="Y96" i="27"/>
  <c r="Y95" i="27"/>
  <c r="Y94" i="27"/>
  <c r="Y93" i="27"/>
  <c r="Y92" i="27"/>
  <c r="Y91" i="27"/>
  <c r="Y90" i="27"/>
  <c r="Y89" i="27"/>
  <c r="Y88" i="27"/>
  <c r="Y87" i="27"/>
  <c r="Y86" i="27"/>
  <c r="Y85" i="27"/>
  <c r="Y84" i="27"/>
  <c r="Y83" i="27"/>
  <c r="Y82" i="27"/>
  <c r="Y81" i="27"/>
  <c r="Y80" i="27"/>
  <c r="Y78" i="27"/>
  <c r="Y77" i="27"/>
  <c r="Y76" i="27"/>
  <c r="Y75" i="27"/>
  <c r="Y74" i="27"/>
  <c r="Y73" i="27"/>
  <c r="Y71" i="27"/>
  <c r="Y70" i="27"/>
  <c r="Y67" i="27"/>
  <c r="Y66" i="27"/>
  <c r="Y65" i="27"/>
  <c r="Y64" i="27"/>
  <c r="Y63" i="27"/>
  <c r="Y61" i="27"/>
  <c r="Y60" i="27"/>
  <c r="Y59" i="27"/>
  <c r="Y58" i="27"/>
  <c r="Y57" i="27"/>
  <c r="Y56" i="27"/>
  <c r="Y55" i="27"/>
  <c r="Y54" i="27"/>
  <c r="Y53" i="27"/>
  <c r="Y51" i="27"/>
  <c r="Y50" i="27"/>
  <c r="Y49" i="27"/>
  <c r="Y47" i="27"/>
  <c r="Y46" i="27"/>
  <c r="Y45" i="27"/>
  <c r="Y44" i="27"/>
  <c r="Y43" i="27"/>
  <c r="Y42" i="27"/>
  <c r="Y41" i="27"/>
  <c r="Y40" i="27"/>
  <c r="Y39" i="27"/>
  <c r="Y38" i="27"/>
  <c r="Y35" i="27"/>
  <c r="Y33" i="27"/>
  <c r="Y32" i="27"/>
  <c r="Y31" i="27"/>
  <c r="Y30" i="27"/>
  <c r="Y28" i="27"/>
  <c r="Y27" i="27"/>
  <c r="Y26" i="27"/>
  <c r="Y25" i="27"/>
  <c r="Y24" i="27"/>
  <c r="Y22" i="27"/>
  <c r="Y21" i="27"/>
  <c r="Y20" i="27"/>
  <c r="Y19" i="27"/>
  <c r="Y16" i="27"/>
  <c r="Y15" i="27"/>
  <c r="Y14" i="27"/>
  <c r="Y13" i="27"/>
  <c r="AF187" i="27"/>
  <c r="AD187" i="27"/>
  <c r="AC187" i="27" s="1"/>
  <c r="AF173" i="27"/>
  <c r="AF172" i="27" s="1"/>
  <c r="AD173" i="27"/>
  <c r="AF155" i="27"/>
  <c r="AD155" i="27"/>
  <c r="AF151" i="27"/>
  <c r="AF147" i="27"/>
  <c r="AD147" i="27"/>
  <c r="AC147" i="27" s="1"/>
  <c r="AF144" i="27"/>
  <c r="AF143" i="27" s="1"/>
  <c r="AD144" i="27"/>
  <c r="AF137" i="27"/>
  <c r="AC137" i="27" s="1"/>
  <c r="AF130" i="27"/>
  <c r="AD130" i="27"/>
  <c r="AD129" i="27" s="1"/>
  <c r="AF129" i="27"/>
  <c r="AF124" i="27"/>
  <c r="AC124" i="27" s="1"/>
  <c r="AF118" i="27"/>
  <c r="AC118" i="27" s="1"/>
  <c r="AF115" i="27"/>
  <c r="AD115" i="27"/>
  <c r="AF114" i="27"/>
  <c r="AD114" i="27"/>
  <c r="AF79" i="27"/>
  <c r="AC79" i="27" s="1"/>
  <c r="AF72" i="27"/>
  <c r="AD72" i="27"/>
  <c r="AC72" i="27" s="1"/>
  <c r="AF69" i="27"/>
  <c r="AD69" i="27"/>
  <c r="AD68" i="27" s="1"/>
  <c r="AF68" i="27"/>
  <c r="AF62" i="27"/>
  <c r="AD62" i="27"/>
  <c r="AC62" i="27" s="1"/>
  <c r="AF52" i="27"/>
  <c r="AD52" i="27"/>
  <c r="AD48" i="27" s="1"/>
  <c r="AF48" i="27"/>
  <c r="AF34" i="27" s="1"/>
  <c r="AF29" i="27"/>
  <c r="AD29" i="27"/>
  <c r="AC29" i="27" s="1"/>
  <c r="AF23" i="27"/>
  <c r="AD23" i="27"/>
  <c r="AF18" i="27"/>
  <c r="AD18" i="27"/>
  <c r="AD17" i="27" s="1"/>
  <c r="AD12" i="27" s="1"/>
  <c r="AD11" i="27" s="1"/>
  <c r="AB187" i="27"/>
  <c r="Z187" i="27"/>
  <c r="AB173" i="27"/>
  <c r="Z173" i="27"/>
  <c r="AB155" i="27"/>
  <c r="AB151" i="27" s="1"/>
  <c r="Z155" i="27"/>
  <c r="AB147" i="27"/>
  <c r="Z147" i="27"/>
  <c r="Y147" i="27" s="1"/>
  <c r="AB144" i="27"/>
  <c r="AB143" i="27" s="1"/>
  <c r="Z144" i="27"/>
  <c r="AB137" i="27"/>
  <c r="AB129" i="27" s="1"/>
  <c r="AB130" i="27"/>
  <c r="Z130" i="27"/>
  <c r="Z129" i="27"/>
  <c r="AB124" i="27"/>
  <c r="Y124" i="27" s="1"/>
  <c r="AB118" i="27"/>
  <c r="AB115" i="27"/>
  <c r="Z115" i="27"/>
  <c r="Z114" i="27"/>
  <c r="AB79" i="27"/>
  <c r="Y79" i="27" s="1"/>
  <c r="AB72" i="27"/>
  <c r="Z72" i="27"/>
  <c r="Y72" i="27" s="1"/>
  <c r="AB69" i="27"/>
  <c r="AB68" i="27" s="1"/>
  <c r="Z69" i="27"/>
  <c r="Z68" i="27"/>
  <c r="AB62" i="27"/>
  <c r="Z62" i="27"/>
  <c r="Y62" i="27" s="1"/>
  <c r="AB52" i="27"/>
  <c r="AB48" i="27" s="1"/>
  <c r="Z52" i="27"/>
  <c r="AB29" i="27"/>
  <c r="Z29" i="27"/>
  <c r="AB23" i="27"/>
  <c r="Z23" i="27"/>
  <c r="Y23" i="27" s="1"/>
  <c r="AB18" i="27"/>
  <c r="Z18" i="27"/>
  <c r="Q149" i="27"/>
  <c r="P22" i="27"/>
  <c r="X181" i="27"/>
  <c r="W181" i="27"/>
  <c r="V181" i="27"/>
  <c r="T181" i="27"/>
  <c r="S181" i="27"/>
  <c r="Q181" i="27"/>
  <c r="P181" i="27"/>
  <c r="U186" i="27"/>
  <c r="R186" i="27"/>
  <c r="O186" i="27"/>
  <c r="N186" i="27"/>
  <c r="M186" i="27"/>
  <c r="U185" i="27"/>
  <c r="R185" i="27"/>
  <c r="O185" i="27"/>
  <c r="N185" i="27"/>
  <c r="M185" i="27"/>
  <c r="L185" i="27" s="1"/>
  <c r="K185" i="27" s="1"/>
  <c r="U184" i="27"/>
  <c r="R184" i="27"/>
  <c r="O184" i="27"/>
  <c r="AG184" i="27" s="1"/>
  <c r="N184" i="27"/>
  <c r="M184" i="27"/>
  <c r="U183" i="27"/>
  <c r="R183" i="27"/>
  <c r="O183" i="27"/>
  <c r="N183" i="27"/>
  <c r="M183" i="27"/>
  <c r="U182" i="27"/>
  <c r="R182" i="27"/>
  <c r="O182" i="27"/>
  <c r="N182" i="27"/>
  <c r="M182" i="27"/>
  <c r="M181" i="27" s="1"/>
  <c r="X173" i="27"/>
  <c r="W173" i="27"/>
  <c r="V173" i="27"/>
  <c r="V172" i="27" s="1"/>
  <c r="T173" i="27"/>
  <c r="S173" i="27"/>
  <c r="Q173" i="27"/>
  <c r="Q172" i="27" s="1"/>
  <c r="P173" i="27"/>
  <c r="U180" i="27"/>
  <c r="R180" i="27"/>
  <c r="N180" i="27"/>
  <c r="O180" i="27"/>
  <c r="AG180" i="27" s="1"/>
  <c r="M180" i="27"/>
  <c r="U179" i="27"/>
  <c r="R179" i="27"/>
  <c r="N179" i="27"/>
  <c r="O179" i="27"/>
  <c r="M179" i="27"/>
  <c r="U178" i="27"/>
  <c r="R178" i="27"/>
  <c r="N178" i="27"/>
  <c r="O178" i="27"/>
  <c r="M178" i="27"/>
  <c r="U177" i="27"/>
  <c r="R177" i="27"/>
  <c r="N177" i="27"/>
  <c r="O177" i="27"/>
  <c r="M177" i="27"/>
  <c r="L177" i="27" s="1"/>
  <c r="K177" i="27" s="1"/>
  <c r="U176" i="27"/>
  <c r="R176" i="27"/>
  <c r="N176" i="27"/>
  <c r="O176" i="27"/>
  <c r="AG176" i="27" s="1"/>
  <c r="M176" i="27"/>
  <c r="U175" i="27"/>
  <c r="R175" i="27"/>
  <c r="N175" i="27"/>
  <c r="O175" i="27"/>
  <c r="M175" i="27"/>
  <c r="U174" i="27"/>
  <c r="R174" i="27"/>
  <c r="N174" i="27"/>
  <c r="O174" i="27"/>
  <c r="AG174" i="27" s="1"/>
  <c r="M174" i="27"/>
  <c r="M173" i="27" s="1"/>
  <c r="M172" i="27" s="1"/>
  <c r="X187" i="27"/>
  <c r="W187" i="27"/>
  <c r="V187" i="27"/>
  <c r="T187" i="27"/>
  <c r="S187" i="27"/>
  <c r="Q187" i="27"/>
  <c r="P187" i="27"/>
  <c r="U189" i="27"/>
  <c r="R189" i="27"/>
  <c r="R187" i="27" s="1"/>
  <c r="O189" i="27"/>
  <c r="AG189" i="27" s="1"/>
  <c r="N189" i="27"/>
  <c r="M189" i="27"/>
  <c r="U188" i="27"/>
  <c r="R188" i="27"/>
  <c r="O188" i="27"/>
  <c r="AG188" i="27" s="1"/>
  <c r="N188" i="27"/>
  <c r="M188" i="27"/>
  <c r="L188" i="27" s="1"/>
  <c r="K188" i="27" s="1"/>
  <c r="X16" i="27"/>
  <c r="X15" i="27"/>
  <c r="J10" i="27" l="1"/>
  <c r="F10" i="27"/>
  <c r="U187" i="27"/>
  <c r="L183" i="27"/>
  <c r="K183" i="27" s="1"/>
  <c r="AG185" i="27"/>
  <c r="Y52" i="27"/>
  <c r="Y69" i="27"/>
  <c r="AC129" i="27"/>
  <c r="X98" i="35"/>
  <c r="AH146" i="35"/>
  <c r="AD39" i="35"/>
  <c r="R42" i="35"/>
  <c r="Q69" i="35"/>
  <c r="AD148" i="35"/>
  <c r="AD152" i="35"/>
  <c r="Q160" i="35"/>
  <c r="Q158" i="35" s="1"/>
  <c r="Q154" i="35" s="1"/>
  <c r="AD178" i="35"/>
  <c r="AD188" i="35"/>
  <c r="AD195" i="35"/>
  <c r="AL21" i="35"/>
  <c r="AL107" i="35"/>
  <c r="M131" i="35"/>
  <c r="AD122" i="35"/>
  <c r="AC68" i="27"/>
  <c r="N187" i="27"/>
  <c r="L179" i="27"/>
  <c r="K179" i="27" s="1"/>
  <c r="N181" i="27"/>
  <c r="AG183" i="27"/>
  <c r="AB114" i="27"/>
  <c r="Z143" i="27"/>
  <c r="AC48" i="27"/>
  <c r="AC69" i="27"/>
  <c r="AA143" i="27"/>
  <c r="C129" i="27"/>
  <c r="AJ15" i="35"/>
  <c r="AJ10" i="35" s="1"/>
  <c r="AJ9" i="35" s="1"/>
  <c r="T98" i="35"/>
  <c r="L110" i="35"/>
  <c r="L126" i="35"/>
  <c r="K126" i="35" s="1"/>
  <c r="AA146" i="35"/>
  <c r="AD44" i="35"/>
  <c r="AD42" i="35" s="1"/>
  <c r="Q59" i="35"/>
  <c r="Q133" i="35"/>
  <c r="M106" i="35"/>
  <c r="N173" i="27"/>
  <c r="AG182" i="27"/>
  <c r="Y29" i="27"/>
  <c r="AC23" i="27"/>
  <c r="AC114" i="27"/>
  <c r="L48" i="35"/>
  <c r="K48" i="35" s="1"/>
  <c r="AE42" i="35"/>
  <c r="AE41" i="35" s="1"/>
  <c r="R61" i="35"/>
  <c r="R85" i="35"/>
  <c r="Q113" i="35"/>
  <c r="Q119" i="35"/>
  <c r="AD133" i="35"/>
  <c r="S140" i="35"/>
  <c r="AD160" i="35"/>
  <c r="Q171" i="35"/>
  <c r="D171" i="35" s="1"/>
  <c r="R173" i="27"/>
  <c r="AG178" i="27"/>
  <c r="R181" i="27"/>
  <c r="AB172" i="27"/>
  <c r="AA68" i="27"/>
  <c r="Y68" i="27" s="1"/>
  <c r="C89" i="27"/>
  <c r="J15" i="35"/>
  <c r="AM15" i="35"/>
  <c r="AM10" i="35" s="1"/>
  <c r="AM9" i="35" s="1"/>
  <c r="L51" i="35"/>
  <c r="K51" i="35" s="1"/>
  <c r="L54" i="35"/>
  <c r="W106" i="35"/>
  <c r="O132" i="35"/>
  <c r="N132" i="35" s="1"/>
  <c r="AM146" i="35"/>
  <c r="AD40" i="35"/>
  <c r="AF42" i="35"/>
  <c r="AD46" i="35"/>
  <c r="AF51" i="35"/>
  <c r="S61" i="35"/>
  <c r="Q138" i="35"/>
  <c r="U173" i="27"/>
  <c r="U181" i="27"/>
  <c r="AG186" i="27"/>
  <c r="Z17" i="27"/>
  <c r="Z12" i="27" s="1"/>
  <c r="Z11" i="27" s="1"/>
  <c r="Y130" i="27"/>
  <c r="AD143" i="27"/>
  <c r="AC143" i="27" s="1"/>
  <c r="AC155" i="27"/>
  <c r="AM98" i="35"/>
  <c r="AE126" i="35"/>
  <c r="L132" i="35"/>
  <c r="K132" i="35" s="1"/>
  <c r="AN175" i="35"/>
  <c r="Q121" i="35"/>
  <c r="AD123" i="35"/>
  <c r="AF135" i="35"/>
  <c r="Q148" i="35"/>
  <c r="Q173" i="35"/>
  <c r="Q178" i="35"/>
  <c r="Q176" i="35" s="1"/>
  <c r="Y143" i="27"/>
  <c r="Y114" i="27"/>
  <c r="AA34" i="27"/>
  <c r="N172" i="27"/>
  <c r="Y129" i="27"/>
  <c r="AE34" i="27"/>
  <c r="AE10" i="27" s="1"/>
  <c r="L175" i="27"/>
  <c r="K175" i="27" s="1"/>
  <c r="O181" i="27"/>
  <c r="S172" i="27"/>
  <c r="W172" i="27"/>
  <c r="AB34" i="27"/>
  <c r="AC11" i="27"/>
  <c r="Y118" i="27"/>
  <c r="Y137" i="27"/>
  <c r="AC52" i="27"/>
  <c r="AC130" i="27"/>
  <c r="Y187" i="27"/>
  <c r="Z172" i="27"/>
  <c r="Y172" i="27" s="1"/>
  <c r="AC173" i="27"/>
  <c r="Y144" i="27"/>
  <c r="L189" i="27"/>
  <c r="K189" i="27" s="1"/>
  <c r="M187" i="27"/>
  <c r="O187" i="27"/>
  <c r="AG187" i="27" s="1"/>
  <c r="AG175" i="27"/>
  <c r="AG177" i="27"/>
  <c r="AG179" i="27"/>
  <c r="O173" i="27"/>
  <c r="AG173" i="27" s="1"/>
  <c r="L182" i="27"/>
  <c r="L184" i="27"/>
  <c r="K184" i="27" s="1"/>
  <c r="L186" i="27"/>
  <c r="K186" i="27" s="1"/>
  <c r="P172" i="27"/>
  <c r="T172" i="27"/>
  <c r="AB17" i="27"/>
  <c r="AB12" i="27" s="1"/>
  <c r="AB11" i="27" s="1"/>
  <c r="Y11" i="27" s="1"/>
  <c r="AF17" i="27"/>
  <c r="AF12" i="27" s="1"/>
  <c r="AF11" i="27" s="1"/>
  <c r="Y18" i="27"/>
  <c r="AC18" i="27"/>
  <c r="Y173" i="27"/>
  <c r="AC144" i="27"/>
  <c r="Y155" i="27"/>
  <c r="Y115" i="27"/>
  <c r="AC115" i="27"/>
  <c r="I10" i="27"/>
  <c r="U15" i="35"/>
  <c r="U10" i="35" s="1"/>
  <c r="U9" i="35" s="1"/>
  <c r="Y15" i="35"/>
  <c r="Y10" i="35" s="1"/>
  <c r="Y9" i="35" s="1"/>
  <c r="AJ89" i="35"/>
  <c r="U146" i="35"/>
  <c r="AG146" i="35"/>
  <c r="AI146" i="35"/>
  <c r="AK146" i="35"/>
  <c r="L150" i="35"/>
  <c r="K150" i="35" s="1"/>
  <c r="AH166" i="35"/>
  <c r="AM166" i="35"/>
  <c r="L190" i="35"/>
  <c r="S16" i="35"/>
  <c r="S15" i="35" s="1"/>
  <c r="S10" i="35" s="1"/>
  <c r="S9" i="35" s="1"/>
  <c r="S21" i="35"/>
  <c r="AD130" i="35"/>
  <c r="AD137" i="35"/>
  <c r="AD139" i="35"/>
  <c r="AD141" i="35"/>
  <c r="AD142" i="35"/>
  <c r="D142" i="35" s="1"/>
  <c r="AD144" i="35"/>
  <c r="AD145" i="35"/>
  <c r="Q152" i="35"/>
  <c r="Z48" i="35"/>
  <c r="P106" i="35"/>
  <c r="O42" i="35"/>
  <c r="G110" i="35"/>
  <c r="C106" i="27"/>
  <c r="AJ47" i="35"/>
  <c r="AO47" i="35"/>
  <c r="AJ106" i="35"/>
  <c r="L170" i="35"/>
  <c r="K170" i="35" s="1"/>
  <c r="O184" i="35"/>
  <c r="N184" i="35" s="1"/>
  <c r="Q11" i="35"/>
  <c r="Q12" i="35"/>
  <c r="AD17" i="35"/>
  <c r="AD19" i="35"/>
  <c r="AD22" i="35"/>
  <c r="AD26" i="35"/>
  <c r="Q39" i="35"/>
  <c r="S42" i="35"/>
  <c r="Q52" i="35"/>
  <c r="AD57" i="35"/>
  <c r="AD59" i="35"/>
  <c r="D59" i="35" s="1"/>
  <c r="AD69" i="35"/>
  <c r="AE71" i="35"/>
  <c r="AD77" i="35"/>
  <c r="Q94" i="35"/>
  <c r="Q96" i="35"/>
  <c r="Q112" i="35"/>
  <c r="AD116" i="35"/>
  <c r="AD163" i="35"/>
  <c r="AD171" i="35"/>
  <c r="AD172" i="35"/>
  <c r="AD173" i="35"/>
  <c r="AD174" i="35"/>
  <c r="Q188" i="35"/>
  <c r="AD189" i="35"/>
  <c r="AL93" i="35"/>
  <c r="AD124" i="35"/>
  <c r="AD38" i="35"/>
  <c r="AF132" i="35"/>
  <c r="AF131" i="35" s="1"/>
  <c r="L42" i="35"/>
  <c r="K42" i="35" s="1"/>
  <c r="H16" i="33"/>
  <c r="R50" i="36"/>
  <c r="M151" i="36"/>
  <c r="E130" i="36"/>
  <c r="F16" i="36"/>
  <c r="L15" i="36"/>
  <c r="F21" i="36"/>
  <c r="F30" i="36"/>
  <c r="E95" i="36"/>
  <c r="L156" i="36"/>
  <c r="M169" i="36"/>
  <c r="D42" i="36"/>
  <c r="D27" i="23"/>
  <c r="H15" i="34"/>
  <c r="H8" i="34" s="1"/>
  <c r="G8" i="34"/>
  <c r="E214" i="36"/>
  <c r="F20" i="36"/>
  <c r="F27" i="36"/>
  <c r="M54" i="36"/>
  <c r="E138" i="36"/>
  <c r="X9" i="36"/>
  <c r="F23" i="33"/>
  <c r="F8" i="30"/>
  <c r="F118" i="36"/>
  <c r="M90" i="36"/>
  <c r="F175" i="36"/>
  <c r="E34" i="36"/>
  <c r="E123" i="36"/>
  <c r="F164" i="36"/>
  <c r="F103" i="36"/>
  <c r="G104" i="36"/>
  <c r="F105" i="36"/>
  <c r="N118" i="36"/>
  <c r="M119" i="36"/>
  <c r="M21" i="36"/>
  <c r="M42" i="36"/>
  <c r="F54" i="36"/>
  <c r="M11" i="36"/>
  <c r="M16" i="36"/>
  <c r="G93" i="36"/>
  <c r="M185" i="36"/>
  <c r="F191" i="36"/>
  <c r="F185" i="36"/>
  <c r="M72" i="36"/>
  <c r="M191" i="36"/>
  <c r="M177" i="36"/>
  <c r="F151" i="36"/>
  <c r="F169" i="36"/>
  <c r="F177" i="36"/>
  <c r="M34" i="36"/>
  <c r="F42" i="36"/>
  <c r="M93" i="36"/>
  <c r="M104" i="36"/>
  <c r="M109" i="36"/>
  <c r="E39" i="25"/>
  <c r="L50" i="36"/>
  <c r="N137" i="36"/>
  <c r="M137" i="36" s="1"/>
  <c r="G34" i="36"/>
  <c r="F137" i="36"/>
  <c r="N156" i="36"/>
  <c r="G109" i="36"/>
  <c r="L176" i="36"/>
  <c r="G51" i="36"/>
  <c r="L90" i="36"/>
  <c r="R15" i="36"/>
  <c r="G176" i="36"/>
  <c r="G90" i="36"/>
  <c r="R176" i="36"/>
  <c r="N176" i="36"/>
  <c r="N15" i="36"/>
  <c r="C22" i="36"/>
  <c r="C23" i="36"/>
  <c r="G15" i="36"/>
  <c r="N44" i="35"/>
  <c r="P42" i="35"/>
  <c r="C42" i="35"/>
  <c r="AP131" i="35"/>
  <c r="S184" i="35"/>
  <c r="D24" i="35"/>
  <c r="AO15" i="35"/>
  <c r="AO10" i="35" s="1"/>
  <c r="AO9" i="35" s="1"/>
  <c r="T41" i="35"/>
  <c r="L41" i="35" s="1"/>
  <c r="K41" i="35" s="1"/>
  <c r="O68" i="35"/>
  <c r="N68" i="35" s="1"/>
  <c r="L85" i="35"/>
  <c r="K85" i="35" s="1"/>
  <c r="AD18" i="35"/>
  <c r="AD16" i="35" s="1"/>
  <c r="AD25" i="35"/>
  <c r="AD36" i="35"/>
  <c r="Q44" i="35"/>
  <c r="Q46" i="35"/>
  <c r="AE93" i="35"/>
  <c r="Q108" i="35"/>
  <c r="R118" i="35"/>
  <c r="Q134" i="35"/>
  <c r="Q132" i="35" s="1"/>
  <c r="AF158" i="35"/>
  <c r="AD165" i="35"/>
  <c r="Q181" i="35"/>
  <c r="Q183" i="35"/>
  <c r="M146" i="35"/>
  <c r="D38" i="35"/>
  <c r="I41" i="35"/>
  <c r="H41" i="35" s="1"/>
  <c r="D173" i="35"/>
  <c r="X15" i="35"/>
  <c r="X10" i="35" s="1"/>
  <c r="X9" i="35" s="1"/>
  <c r="AC15" i="35"/>
  <c r="AC10" i="35" s="1"/>
  <c r="AC9" i="35" s="1"/>
  <c r="AN15" i="35"/>
  <c r="AN10" i="35" s="1"/>
  <c r="AN9" i="35" s="1"/>
  <c r="Y41" i="35"/>
  <c r="L61" i="35"/>
  <c r="K61" i="35" s="1"/>
  <c r="AN67" i="35"/>
  <c r="O71" i="35"/>
  <c r="AP67" i="35"/>
  <c r="L98" i="35"/>
  <c r="L118" i="35"/>
  <c r="K118" i="35" s="1"/>
  <c r="AE140" i="35"/>
  <c r="V146" i="35"/>
  <c r="AB154" i="35"/>
  <c r="AB166" i="35"/>
  <c r="AI166" i="35"/>
  <c r="AN166" i="35"/>
  <c r="AP166" i="35"/>
  <c r="O176" i="35"/>
  <c r="N176" i="35" s="1"/>
  <c r="O190" i="35"/>
  <c r="N190" i="35" s="1"/>
  <c r="AD13" i="35"/>
  <c r="AD14" i="35"/>
  <c r="Q27" i="35"/>
  <c r="Q28" i="35"/>
  <c r="Q29" i="35"/>
  <c r="AD52" i="35"/>
  <c r="AD53" i="35"/>
  <c r="Q63" i="35"/>
  <c r="Q64" i="35"/>
  <c r="D64" i="35" s="1"/>
  <c r="Q65" i="35"/>
  <c r="AF79" i="35"/>
  <c r="S93" i="35"/>
  <c r="Q100" i="35"/>
  <c r="Q101" i="35"/>
  <c r="R102" i="35"/>
  <c r="AF110" i="35"/>
  <c r="AD113" i="35"/>
  <c r="Q130" i="35"/>
  <c r="Q143" i="35"/>
  <c r="Q145" i="35"/>
  <c r="AF150" i="35"/>
  <c r="AF146" i="35" s="1"/>
  <c r="AD161" i="35"/>
  <c r="AF184" i="35"/>
  <c r="AD191" i="35"/>
  <c r="AD193" i="35"/>
  <c r="AD194" i="35"/>
  <c r="Z35" i="35"/>
  <c r="Z34" i="35" s="1"/>
  <c r="Z54" i="35"/>
  <c r="Z47" i="35" s="1"/>
  <c r="Z61" i="35"/>
  <c r="Z110" i="35"/>
  <c r="Z115" i="35"/>
  <c r="Z140" i="35"/>
  <c r="Z147" i="35"/>
  <c r="Z170" i="35"/>
  <c r="AL68" i="35"/>
  <c r="AL79" i="35"/>
  <c r="AL90" i="35"/>
  <c r="N64" i="35"/>
  <c r="D178" i="35"/>
  <c r="K102" i="35"/>
  <c r="M114" i="35"/>
  <c r="P15" i="35"/>
  <c r="P166" i="35"/>
  <c r="Q76" i="35"/>
  <c r="AD138" i="35"/>
  <c r="D138" i="35" s="1"/>
  <c r="S41" i="35"/>
  <c r="O140" i="35"/>
  <c r="N140" i="35" s="1"/>
  <c r="D130" i="35"/>
  <c r="O167" i="35"/>
  <c r="AG175" i="35"/>
  <c r="AO175" i="35"/>
  <c r="AE16" i="35"/>
  <c r="AD20" i="35"/>
  <c r="AD23" i="35"/>
  <c r="AD30" i="35"/>
  <c r="D30" i="35" s="1"/>
  <c r="Q45" i="35"/>
  <c r="Q50" i="35"/>
  <c r="AD58" i="35"/>
  <c r="AD95" i="35"/>
  <c r="S102" i="35"/>
  <c r="Q105" i="35"/>
  <c r="AF115" i="35"/>
  <c r="Q125" i="35"/>
  <c r="AD168" i="35"/>
  <c r="Q182" i="35"/>
  <c r="Q185" i="35"/>
  <c r="AD196" i="35"/>
  <c r="Z155" i="35"/>
  <c r="AL48" i="35"/>
  <c r="D148" i="35"/>
  <c r="L16" i="35"/>
  <c r="K16" i="35" s="1"/>
  <c r="AP15" i="35"/>
  <c r="AP10" i="35" s="1"/>
  <c r="AP9" i="35" s="1"/>
  <c r="AB15" i="35"/>
  <c r="AB10" i="35" s="1"/>
  <c r="AB9" i="35" s="1"/>
  <c r="L34" i="35"/>
  <c r="K34" i="35" s="1"/>
  <c r="O41" i="35"/>
  <c r="O48" i="35"/>
  <c r="N48" i="35" s="1"/>
  <c r="L71" i="35"/>
  <c r="AI67" i="35"/>
  <c r="L79" i="35"/>
  <c r="K79" i="35" s="1"/>
  <c r="L90" i="35"/>
  <c r="AK89" i="35"/>
  <c r="U98" i="35"/>
  <c r="V98" i="35"/>
  <c r="AG114" i="35"/>
  <c r="AK114" i="35"/>
  <c r="U131" i="35"/>
  <c r="Y131" i="35"/>
  <c r="O131" i="35" s="1"/>
  <c r="N150" i="35"/>
  <c r="V154" i="35"/>
  <c r="L158" i="35"/>
  <c r="K158" i="35" s="1"/>
  <c r="AA166" i="35"/>
  <c r="L184" i="35"/>
  <c r="X175" i="35"/>
  <c r="Q31" i="35"/>
  <c r="Q33" i="35"/>
  <c r="R35" i="35"/>
  <c r="R34" i="35" s="1"/>
  <c r="Q55" i="35"/>
  <c r="Q57" i="35"/>
  <c r="AD62" i="35"/>
  <c r="AD64" i="35"/>
  <c r="AD66" i="35"/>
  <c r="AD78" i="35"/>
  <c r="Q88" i="35"/>
  <c r="R93" i="35"/>
  <c r="AE102" i="35"/>
  <c r="AD111" i="35"/>
  <c r="AD110" i="35" s="1"/>
  <c r="AD127" i="35"/>
  <c r="AE150" i="35"/>
  <c r="S158" i="35"/>
  <c r="AD179" i="35"/>
  <c r="AD186" i="35"/>
  <c r="Q191" i="35"/>
  <c r="Q195" i="35"/>
  <c r="D195" i="35" s="1"/>
  <c r="Z150" i="35"/>
  <c r="AL16" i="35"/>
  <c r="AL61" i="35"/>
  <c r="AL99" i="35"/>
  <c r="AL98" i="35" s="1"/>
  <c r="AL106" i="35"/>
  <c r="AL126" i="35"/>
  <c r="AL147" i="35"/>
  <c r="AL158" i="35"/>
  <c r="AL170" i="35"/>
  <c r="L99" i="35"/>
  <c r="K99" i="35" s="1"/>
  <c r="M15" i="35"/>
  <c r="P175" i="35"/>
  <c r="AD76" i="35"/>
  <c r="Q124" i="35"/>
  <c r="D124" i="35" s="1"/>
  <c r="T114" i="35"/>
  <c r="L115" i="35"/>
  <c r="K115" i="35" s="1"/>
  <c r="AE79" i="35"/>
  <c r="AD80" i="35"/>
  <c r="N138" i="35"/>
  <c r="P135" i="35"/>
  <c r="P131" i="35" s="1"/>
  <c r="M182" i="35"/>
  <c r="K182" i="35" s="1"/>
  <c r="T146" i="35"/>
  <c r="L146" i="35" s="1"/>
  <c r="K146" i="35" s="1"/>
  <c r="L147" i="35"/>
  <c r="K147" i="35" s="1"/>
  <c r="T175" i="35"/>
  <c r="L176" i="35"/>
  <c r="AE61" i="35"/>
  <c r="AD65" i="35"/>
  <c r="Q80" i="35"/>
  <c r="R79" i="35"/>
  <c r="D191" i="35"/>
  <c r="K191" i="35"/>
  <c r="AF48" i="35"/>
  <c r="D52" i="35"/>
  <c r="AD120" i="35"/>
  <c r="R126" i="35"/>
  <c r="Q137" i="35"/>
  <c r="D137" i="35" s="1"/>
  <c r="Q139" i="35"/>
  <c r="D139" i="35" s="1"/>
  <c r="Q141" i="35"/>
  <c r="D141" i="35" s="1"/>
  <c r="AD156" i="35"/>
  <c r="AD159" i="35"/>
  <c r="D159" i="35" s="1"/>
  <c r="Q164" i="35"/>
  <c r="D164" i="35" s="1"/>
  <c r="Q165" i="35"/>
  <c r="D165" i="35" s="1"/>
  <c r="AD180" i="35"/>
  <c r="AD182" i="35"/>
  <c r="AD183" i="35"/>
  <c r="AE184" i="35"/>
  <c r="Q189" i="35"/>
  <c r="R190" i="35"/>
  <c r="Q20" i="35"/>
  <c r="N90" i="35"/>
  <c r="K71" i="35"/>
  <c r="AC89" i="35"/>
  <c r="W114" i="35"/>
  <c r="AI114" i="35"/>
  <c r="S132" i="35"/>
  <c r="W131" i="35"/>
  <c r="AM131" i="35"/>
  <c r="R135" i="35"/>
  <c r="L140" i="35"/>
  <c r="X146" i="35"/>
  <c r="AC146" i="35"/>
  <c r="AJ146" i="35"/>
  <c r="AN154" i="35"/>
  <c r="AE158" i="35"/>
  <c r="AD28" i="35"/>
  <c r="AD63" i="35"/>
  <c r="S71" i="35"/>
  <c r="Q77" i="35"/>
  <c r="Q78" i="35"/>
  <c r="AD87" i="35"/>
  <c r="AD91" i="35"/>
  <c r="AD92" i="35"/>
  <c r="AD90" i="35" s="1"/>
  <c r="AD94" i="35"/>
  <c r="AD93" i="35" s="1"/>
  <c r="D96" i="35"/>
  <c r="Q97" i="35"/>
  <c r="AD105" i="35"/>
  <c r="Q116" i="35"/>
  <c r="Q156" i="35"/>
  <c r="Q155" i="35" s="1"/>
  <c r="AF167" i="35"/>
  <c r="AE176" i="35"/>
  <c r="Q180" i="35"/>
  <c r="AF190" i="35"/>
  <c r="Z16" i="35"/>
  <c r="Z15" i="35" s="1"/>
  <c r="Z10" i="35" s="1"/>
  <c r="Z9" i="35" s="1"/>
  <c r="Z85" i="35"/>
  <c r="Z158" i="35"/>
  <c r="Z154" i="35" s="1"/>
  <c r="P61" i="35"/>
  <c r="AE35" i="35"/>
  <c r="AE34" i="35" s="1"/>
  <c r="J10" i="35"/>
  <c r="J9" i="35" s="1"/>
  <c r="E35" i="35"/>
  <c r="C80" i="35"/>
  <c r="T89" i="35"/>
  <c r="L89" i="35" s="1"/>
  <c r="L93" i="35"/>
  <c r="K93" i="35" s="1"/>
  <c r="Y98" i="35"/>
  <c r="O98" i="35" s="1"/>
  <c r="O99" i="35"/>
  <c r="N99" i="35" s="1"/>
  <c r="T166" i="35"/>
  <c r="L167" i="35"/>
  <c r="K167" i="35" s="1"/>
  <c r="Q60" i="35"/>
  <c r="R54" i="35"/>
  <c r="Q127" i="35"/>
  <c r="D127" i="35" s="1"/>
  <c r="S126" i="35"/>
  <c r="Y47" i="35"/>
  <c r="O61" i="35"/>
  <c r="Y146" i="35"/>
  <c r="O146" i="35" s="1"/>
  <c r="N146" i="35" s="1"/>
  <c r="O147" i="35"/>
  <c r="N147" i="35" s="1"/>
  <c r="L155" i="35"/>
  <c r="K155" i="35" s="1"/>
  <c r="T154" i="35"/>
  <c r="L154" i="35" s="1"/>
  <c r="E63" i="35"/>
  <c r="G61" i="35"/>
  <c r="C75" i="35"/>
  <c r="C81" i="35"/>
  <c r="C95" i="35"/>
  <c r="C128" i="35"/>
  <c r="C142" i="35"/>
  <c r="C160" i="35"/>
  <c r="D160" i="35"/>
  <c r="Q179" i="35"/>
  <c r="D179" i="35" s="1"/>
  <c r="R176" i="35"/>
  <c r="AE54" i="35"/>
  <c r="AF155" i="35"/>
  <c r="D69" i="35"/>
  <c r="D152" i="35"/>
  <c r="AB106" i="35"/>
  <c r="AD45" i="35"/>
  <c r="AE68" i="35"/>
  <c r="AF90" i="35"/>
  <c r="AF89" i="35" s="1"/>
  <c r="U47" i="35"/>
  <c r="AI47" i="35"/>
  <c r="AG67" i="35"/>
  <c r="AK67" i="35"/>
  <c r="O93" i="35"/>
  <c r="T106" i="35"/>
  <c r="L106" i="35" s="1"/>
  <c r="K106" i="35" s="1"/>
  <c r="X106" i="35"/>
  <c r="AC106" i="35"/>
  <c r="AI106" i="35"/>
  <c r="AN106" i="35"/>
  <c r="W146" i="35"/>
  <c r="AB146" i="35"/>
  <c r="AN146" i="35"/>
  <c r="AC154" i="35"/>
  <c r="AO166" i="35"/>
  <c r="AD55" i="35"/>
  <c r="AD81" i="35"/>
  <c r="Q87" i="35"/>
  <c r="S107" i="35"/>
  <c r="R115" i="35"/>
  <c r="AE167" i="35"/>
  <c r="Z135" i="35"/>
  <c r="L68" i="35"/>
  <c r="D189" i="35"/>
  <c r="F35" i="35"/>
  <c r="F34" i="35" s="1"/>
  <c r="O35" i="35"/>
  <c r="M98" i="35"/>
  <c r="K98" i="35" s="1"/>
  <c r="M166" i="35"/>
  <c r="N155" i="35"/>
  <c r="D188" i="35"/>
  <c r="P58" i="35"/>
  <c r="N58" i="35" s="1"/>
  <c r="AH47" i="35"/>
  <c r="AM47" i="35"/>
  <c r="W67" i="35"/>
  <c r="AH67" i="35"/>
  <c r="V67" i="35"/>
  <c r="AH89" i="35"/>
  <c r="AM89" i="35"/>
  <c r="AB89" i="35"/>
  <c r="AC98" i="35"/>
  <c r="V114" i="35"/>
  <c r="AH114" i="35"/>
  <c r="AM114" i="35"/>
  <c r="AG131" i="35"/>
  <c r="AK131" i="35"/>
  <c r="V131" i="35"/>
  <c r="L135" i="35"/>
  <c r="K135" i="35" s="1"/>
  <c r="AI154" i="35"/>
  <c r="AM154" i="35"/>
  <c r="AH175" i="35"/>
  <c r="AL175" i="35"/>
  <c r="AP175" i="35"/>
  <c r="AD12" i="35"/>
  <c r="D12" i="35" s="1"/>
  <c r="Q18" i="35"/>
  <c r="D18" i="35" s="1"/>
  <c r="Q22" i="35"/>
  <c r="D22" i="35" s="1"/>
  <c r="Q23" i="35"/>
  <c r="D23" i="35" s="1"/>
  <c r="Q25" i="35"/>
  <c r="D25" i="35" s="1"/>
  <c r="AD29" i="35"/>
  <c r="AD31" i="35"/>
  <c r="AD33" i="35"/>
  <c r="Q40" i="35"/>
  <c r="D40" i="35" s="1"/>
  <c r="Q43" i="35"/>
  <c r="AF41" i="35"/>
  <c r="AD49" i="35"/>
  <c r="S51" i="35"/>
  <c r="Q58" i="35"/>
  <c r="Q70" i="35"/>
  <c r="Q68" i="35" s="1"/>
  <c r="Q72" i="35"/>
  <c r="Q73" i="35"/>
  <c r="Q74" i="35"/>
  <c r="Q75" i="35"/>
  <c r="D75" i="35" s="1"/>
  <c r="Q83" i="35"/>
  <c r="Q84" i="35"/>
  <c r="AF85" i="35"/>
  <c r="AD88" i="35"/>
  <c r="D88" i="35" s="1"/>
  <c r="AD100" i="35"/>
  <c r="D100" i="35" s="1"/>
  <c r="AD101" i="35"/>
  <c r="D101" i="35" s="1"/>
  <c r="AD103" i="35"/>
  <c r="R107" i="35"/>
  <c r="R106" i="35" s="1"/>
  <c r="AD117" i="35"/>
  <c r="AE118" i="35"/>
  <c r="AD128" i="35"/>
  <c r="Q136" i="35"/>
  <c r="AD143" i="35"/>
  <c r="R147" i="35"/>
  <c r="R146" i="35" s="1"/>
  <c r="Q151" i="35"/>
  <c r="AE155" i="35"/>
  <c r="Q162" i="35"/>
  <c r="Q163" i="35"/>
  <c r="R170" i="35"/>
  <c r="R166" i="35" s="1"/>
  <c r="Q174" i="35"/>
  <c r="D174" i="35" s="1"/>
  <c r="Q177" i="35"/>
  <c r="AD181" i="35"/>
  <c r="Q187" i="35"/>
  <c r="AD192" i="35"/>
  <c r="AD190" i="35" s="1"/>
  <c r="Q196" i="35"/>
  <c r="Z79" i="35"/>
  <c r="Z90" i="35"/>
  <c r="Z93" i="35"/>
  <c r="Z126" i="35"/>
  <c r="AL35" i="35"/>
  <c r="AL41" i="35"/>
  <c r="N142" i="35"/>
  <c r="C138" i="35"/>
  <c r="K35" i="35"/>
  <c r="N77" i="35"/>
  <c r="M47" i="35"/>
  <c r="M177" i="35"/>
  <c r="M176" i="35" s="1"/>
  <c r="G170" i="35"/>
  <c r="G166" i="35" s="1"/>
  <c r="AG15" i="35"/>
  <c r="AG10" i="35" s="1"/>
  <c r="AG9" i="35" s="1"/>
  <c r="AK15" i="35"/>
  <c r="AK10" i="35" s="1"/>
  <c r="AK9" i="35" s="1"/>
  <c r="AK47" i="35"/>
  <c r="AP47" i="35"/>
  <c r="AA67" i="35"/>
  <c r="U89" i="35"/>
  <c r="Y89" i="35"/>
  <c r="AP89" i="35"/>
  <c r="AB98" i="35"/>
  <c r="U106" i="35"/>
  <c r="Y106" i="35"/>
  <c r="O106" i="35" s="1"/>
  <c r="N106" i="35" s="1"/>
  <c r="U114" i="35"/>
  <c r="Y114" i="35"/>
  <c r="O114" i="35" s="1"/>
  <c r="AC114" i="35"/>
  <c r="AJ114" i="35"/>
  <c r="AO114" i="35"/>
  <c r="O118" i="35"/>
  <c r="AJ131" i="35"/>
  <c r="AO131" i="35"/>
  <c r="O135" i="35"/>
  <c r="N135" i="35" s="1"/>
  <c r="AO146" i="35"/>
  <c r="AH154" i="35"/>
  <c r="AP154" i="35"/>
  <c r="AP32" i="35" s="1"/>
  <c r="AG166" i="35"/>
  <c r="AK166" i="35"/>
  <c r="V175" i="35"/>
  <c r="Z175" i="35"/>
  <c r="AC175" i="35"/>
  <c r="Q13" i="35"/>
  <c r="Q14" i="35"/>
  <c r="D14" i="35" s="1"/>
  <c r="AF16" i="35"/>
  <c r="AF21" i="35"/>
  <c r="AD27" i="35"/>
  <c r="D27" i="35" s="1"/>
  <c r="Q36" i="35"/>
  <c r="D36" i="35" s="1"/>
  <c r="Q37" i="35"/>
  <c r="Q49" i="35"/>
  <c r="Q53" i="35"/>
  <c r="Q51" i="35" s="1"/>
  <c r="Q56" i="35"/>
  <c r="AD60" i="35"/>
  <c r="Q66" i="35"/>
  <c r="D66" i="35" s="1"/>
  <c r="AF68" i="35"/>
  <c r="AD73" i="35"/>
  <c r="AD74" i="35"/>
  <c r="Q81" i="35"/>
  <c r="Q82" i="35"/>
  <c r="D82" i="35" s="1"/>
  <c r="AD83" i="35"/>
  <c r="Q91" i="35"/>
  <c r="D91" i="35" s="1"/>
  <c r="R90" i="35"/>
  <c r="R89" i="35" s="1"/>
  <c r="AD97" i="35"/>
  <c r="S99" i="35"/>
  <c r="Q120" i="35"/>
  <c r="Q123" i="35"/>
  <c r="Q129" i="35"/>
  <c r="Q144" i="35"/>
  <c r="D144" i="35" s="1"/>
  <c r="AF147" i="35"/>
  <c r="AD153" i="35"/>
  <c r="Q161" i="35"/>
  <c r="D161" i="35" s="1"/>
  <c r="AD162" i="35"/>
  <c r="Q168" i="35"/>
  <c r="Q169" i="35"/>
  <c r="AF170" i="35"/>
  <c r="AF166" i="35" s="1"/>
  <c r="AF176" i="35"/>
  <c r="Q186" i="35"/>
  <c r="AD187" i="35"/>
  <c r="Q193" i="35"/>
  <c r="D193" i="35" s="1"/>
  <c r="Q194" i="35"/>
  <c r="D194" i="35" s="1"/>
  <c r="Z99" i="35"/>
  <c r="Z98" i="35" s="1"/>
  <c r="Z106" i="35"/>
  <c r="Z132" i="35"/>
  <c r="AL54" i="35"/>
  <c r="AL47" i="35" s="1"/>
  <c r="AL102" i="35"/>
  <c r="AL115" i="35"/>
  <c r="AL140" i="35"/>
  <c r="AL150" i="35"/>
  <c r="AL167" i="35"/>
  <c r="K188" i="35"/>
  <c r="N95" i="35"/>
  <c r="O107" i="35"/>
  <c r="N107" i="35" s="1"/>
  <c r="M89" i="35"/>
  <c r="K89" i="35" s="1"/>
  <c r="K140" i="35"/>
  <c r="M154" i="35"/>
  <c r="K154" i="35" s="1"/>
  <c r="N170" i="35"/>
  <c r="Q122" i="35"/>
  <c r="D122" i="35" s="1"/>
  <c r="C76" i="35"/>
  <c r="S35" i="35"/>
  <c r="S34" i="35" s="1"/>
  <c r="P81" i="35"/>
  <c r="P79" i="35" s="1"/>
  <c r="N79" i="35" s="1"/>
  <c r="D83" i="35"/>
  <c r="AD149" i="35"/>
  <c r="AL134" i="35"/>
  <c r="AL132" i="35" s="1"/>
  <c r="AD134" i="35"/>
  <c r="AN131" i="35"/>
  <c r="AD136" i="35"/>
  <c r="D136" i="35" s="1"/>
  <c r="AF125" i="35"/>
  <c r="AD125" i="35" s="1"/>
  <c r="AD115" i="35"/>
  <c r="AN118" i="35"/>
  <c r="AN114" i="35" s="1"/>
  <c r="AF121" i="35"/>
  <c r="AD86" i="35"/>
  <c r="AN47" i="35"/>
  <c r="AF54" i="35"/>
  <c r="AD50" i="35"/>
  <c r="AD109" i="35"/>
  <c r="AF35" i="35"/>
  <c r="AF34" i="35" s="1"/>
  <c r="N160" i="35"/>
  <c r="P158" i="35"/>
  <c r="N158" i="35" s="1"/>
  <c r="N139" i="35"/>
  <c r="P126" i="35"/>
  <c r="N126" i="35" s="1"/>
  <c r="N128" i="35"/>
  <c r="P89" i="35"/>
  <c r="N93" i="35"/>
  <c r="N74" i="35"/>
  <c r="P71" i="35"/>
  <c r="P67" i="35" s="1"/>
  <c r="N59" i="35"/>
  <c r="N61" i="35"/>
  <c r="N62" i="35"/>
  <c r="N57" i="35"/>
  <c r="AC131" i="35"/>
  <c r="AL135" i="35"/>
  <c r="S135" i="35"/>
  <c r="L35" i="35"/>
  <c r="N36" i="35"/>
  <c r="E56" i="35"/>
  <c r="C56" i="35" s="1"/>
  <c r="N56" i="35"/>
  <c r="P54" i="35"/>
  <c r="N54" i="35" s="1"/>
  <c r="N55" i="35"/>
  <c r="N53" i="35"/>
  <c r="N38" i="35"/>
  <c r="O34" i="35"/>
  <c r="N34" i="35" s="1"/>
  <c r="C38" i="35"/>
  <c r="O21" i="35"/>
  <c r="N21" i="35" s="1"/>
  <c r="N124" i="35"/>
  <c r="C124" i="35"/>
  <c r="Z118" i="35"/>
  <c r="AB114" i="35"/>
  <c r="AL118" i="35"/>
  <c r="AL114" i="35" s="1"/>
  <c r="V15" i="35"/>
  <c r="V10" i="35" s="1"/>
  <c r="V9" i="35" s="1"/>
  <c r="L21" i="35"/>
  <c r="K21" i="35" s="1"/>
  <c r="AA15" i="35"/>
  <c r="AA10" i="35" s="1"/>
  <c r="AA9" i="35" s="1"/>
  <c r="O9" i="35"/>
  <c r="N76" i="35"/>
  <c r="AL71" i="35"/>
  <c r="Z71" i="35"/>
  <c r="AF71" i="35"/>
  <c r="K68" i="35"/>
  <c r="M13" i="35"/>
  <c r="K54" i="35"/>
  <c r="P119" i="35"/>
  <c r="N122" i="35"/>
  <c r="C122" i="35"/>
  <c r="I118" i="35"/>
  <c r="H118" i="35" s="1"/>
  <c r="AA114" i="35"/>
  <c r="T15" i="35"/>
  <c r="W15" i="35"/>
  <c r="W10" i="35" s="1"/>
  <c r="W9" i="35" s="1"/>
  <c r="AH15" i="35"/>
  <c r="AH10" i="35" s="1"/>
  <c r="AH9" i="35" s="1"/>
  <c r="O15" i="35"/>
  <c r="N15" i="35" s="1"/>
  <c r="R21" i="35"/>
  <c r="AI15" i="35"/>
  <c r="AI10" i="35" s="1"/>
  <c r="AI9" i="35" s="1"/>
  <c r="Q26" i="35"/>
  <c r="D26" i="35" s="1"/>
  <c r="O10" i="35"/>
  <c r="K189" i="35"/>
  <c r="M190" i="35"/>
  <c r="K190" i="35" s="1"/>
  <c r="K192" i="35"/>
  <c r="K187" i="35"/>
  <c r="M184" i="35"/>
  <c r="K184" i="35" s="1"/>
  <c r="K178" i="35"/>
  <c r="K12" i="35"/>
  <c r="P10" i="35"/>
  <c r="P41" i="35"/>
  <c r="N51" i="35"/>
  <c r="N167" i="35"/>
  <c r="P98" i="35"/>
  <c r="K90" i="35"/>
  <c r="K110" i="35"/>
  <c r="M67" i="35"/>
  <c r="Q19" i="35"/>
  <c r="D19" i="35" s="1"/>
  <c r="Q17" i="35"/>
  <c r="D17" i="35" s="1"/>
  <c r="AD170" i="35"/>
  <c r="AL154" i="35"/>
  <c r="AL146" i="35"/>
  <c r="AL89" i="35"/>
  <c r="AL34" i="35"/>
  <c r="AL15" i="35"/>
  <c r="AL10" i="35" s="1"/>
  <c r="AL9" i="35" s="1"/>
  <c r="Z166" i="35"/>
  <c r="Z146" i="35"/>
  <c r="Z41" i="35"/>
  <c r="Q192" i="35"/>
  <c r="Q190" i="35" s="1"/>
  <c r="S190" i="35"/>
  <c r="AE190" i="35"/>
  <c r="Y175" i="35"/>
  <c r="R184" i="35"/>
  <c r="R175" i="35" s="1"/>
  <c r="AD185" i="35"/>
  <c r="W175" i="35"/>
  <c r="AA175" i="35"/>
  <c r="AD177" i="35"/>
  <c r="S176" i="35"/>
  <c r="S175" i="35" s="1"/>
  <c r="Q172" i="35"/>
  <c r="S170" i="35"/>
  <c r="AE170" i="35"/>
  <c r="U166" i="35"/>
  <c r="Y166" i="35"/>
  <c r="O166" i="35" s="1"/>
  <c r="N166" i="35" s="1"/>
  <c r="AC166" i="35"/>
  <c r="AD169" i="35"/>
  <c r="AD167" i="35" s="1"/>
  <c r="S167" i="35"/>
  <c r="Y154" i="35"/>
  <c r="R158" i="35"/>
  <c r="R154" i="35" s="1"/>
  <c r="W154" i="35"/>
  <c r="AA154" i="35"/>
  <c r="AD157" i="35"/>
  <c r="S155" i="35"/>
  <c r="S154" i="35" s="1"/>
  <c r="AD151" i="35"/>
  <c r="AD150" i="35" s="1"/>
  <c r="S150" i="35"/>
  <c r="S147" i="35"/>
  <c r="AE147" i="35"/>
  <c r="AE146" i="35" s="1"/>
  <c r="Q149" i="35"/>
  <c r="Q147" i="35" s="1"/>
  <c r="T131" i="35"/>
  <c r="AB131" i="35"/>
  <c r="AA131" i="35"/>
  <c r="R140" i="35"/>
  <c r="X131" i="35"/>
  <c r="S131" i="35"/>
  <c r="AE135" i="35"/>
  <c r="AD132" i="35"/>
  <c r="R132" i="35"/>
  <c r="R131" i="35" s="1"/>
  <c r="Q128" i="35"/>
  <c r="AD119" i="35"/>
  <c r="R114" i="35"/>
  <c r="S118" i="35"/>
  <c r="S115" i="35"/>
  <c r="AE115" i="35"/>
  <c r="AE114" i="35" s="1"/>
  <c r="Q117" i="35"/>
  <c r="S110" i="35"/>
  <c r="AE110" i="35"/>
  <c r="AE106" i="35" s="1"/>
  <c r="Q111" i="35"/>
  <c r="AF106" i="35"/>
  <c r="AD108" i="35"/>
  <c r="AD107" i="35" s="1"/>
  <c r="Q109" i="35"/>
  <c r="Q107" i="35" s="1"/>
  <c r="S98" i="35"/>
  <c r="AD104" i="35"/>
  <c r="Q103" i="35"/>
  <c r="Q102" i="35" s="1"/>
  <c r="AF98" i="35"/>
  <c r="AE99" i="35"/>
  <c r="R99" i="35"/>
  <c r="Q95" i="35"/>
  <c r="X89" i="35"/>
  <c r="S90" i="35"/>
  <c r="AE90" i="35"/>
  <c r="AE89" i="35" s="1"/>
  <c r="Q92" i="35"/>
  <c r="S85" i="35"/>
  <c r="AE85" i="35"/>
  <c r="Q86" i="35"/>
  <c r="T67" i="35"/>
  <c r="X67" i="35"/>
  <c r="AB67" i="35"/>
  <c r="AD72" i="35"/>
  <c r="AE67" i="35"/>
  <c r="U67" i="35"/>
  <c r="Y67" i="35"/>
  <c r="AC67" i="35"/>
  <c r="R71" i="35"/>
  <c r="AD70" i="35"/>
  <c r="AD68" i="35" s="1"/>
  <c r="S68" i="35"/>
  <c r="S67" i="35" s="1"/>
  <c r="AF61" i="35"/>
  <c r="Q62" i="35"/>
  <c r="AC47" i="35"/>
  <c r="AD56" i="35"/>
  <c r="S54" i="35"/>
  <c r="T47" i="35"/>
  <c r="L47" i="35" s="1"/>
  <c r="K47" i="35" s="1"/>
  <c r="X47" i="35"/>
  <c r="AB47" i="35"/>
  <c r="AE51" i="35"/>
  <c r="W47" i="35"/>
  <c r="AA47" i="35"/>
  <c r="R51" i="35"/>
  <c r="V47" i="35"/>
  <c r="R48" i="35"/>
  <c r="R41" i="35"/>
  <c r="AD37" i="35"/>
  <c r="AE15" i="35"/>
  <c r="AE10" i="35" s="1"/>
  <c r="AE9" i="35" s="1"/>
  <c r="R16" i="35"/>
  <c r="AD11" i="35"/>
  <c r="C28" i="35"/>
  <c r="C116" i="35"/>
  <c r="C12" i="35"/>
  <c r="C14" i="35"/>
  <c r="C144" i="35"/>
  <c r="C156" i="35"/>
  <c r="C174" i="35"/>
  <c r="C40" i="35"/>
  <c r="J98" i="35"/>
  <c r="C111" i="35"/>
  <c r="J154" i="35"/>
  <c r="C164" i="35"/>
  <c r="C173" i="35"/>
  <c r="C191" i="35"/>
  <c r="C195" i="35"/>
  <c r="C43" i="35"/>
  <c r="C86" i="35"/>
  <c r="C85" i="35" s="1"/>
  <c r="C91" i="35"/>
  <c r="C100" i="35"/>
  <c r="C168" i="35"/>
  <c r="C192" i="35"/>
  <c r="C194" i="35"/>
  <c r="C22" i="35"/>
  <c r="C19" i="35"/>
  <c r="C24" i="35"/>
  <c r="C30" i="35"/>
  <c r="C37" i="35"/>
  <c r="C63" i="35"/>
  <c r="C70" i="35"/>
  <c r="C109" i="35"/>
  <c r="C151" i="35"/>
  <c r="C127" i="35"/>
  <c r="C29" i="35"/>
  <c r="C69" i="35"/>
  <c r="C94" i="35"/>
  <c r="C108" i="35"/>
  <c r="C152" i="35"/>
  <c r="C13" i="35"/>
  <c r="C17" i="35"/>
  <c r="C49" i="35"/>
  <c r="C66" i="35"/>
  <c r="C87" i="35"/>
  <c r="C92" i="35"/>
  <c r="C96" i="35"/>
  <c r="C101" i="35"/>
  <c r="C130" i="35"/>
  <c r="C143" i="35"/>
  <c r="C148" i="35"/>
  <c r="C157" i="35"/>
  <c r="C169" i="35"/>
  <c r="C193" i="35"/>
  <c r="C18" i="35"/>
  <c r="C23" i="35"/>
  <c r="C27" i="35"/>
  <c r="C31" i="35"/>
  <c r="C36" i="35"/>
  <c r="C52" i="35"/>
  <c r="C62" i="35"/>
  <c r="C103" i="35"/>
  <c r="C141" i="35"/>
  <c r="C159" i="35"/>
  <c r="C171" i="35"/>
  <c r="E79" i="35"/>
  <c r="C26" i="35"/>
  <c r="G126" i="35"/>
  <c r="E126" i="35" s="1"/>
  <c r="E149" i="35"/>
  <c r="C149" i="35" s="1"/>
  <c r="G150" i="35"/>
  <c r="G146" i="35" s="1"/>
  <c r="F155" i="35"/>
  <c r="E155" i="35" s="1"/>
  <c r="J175" i="35"/>
  <c r="C25" i="35"/>
  <c r="H85" i="35"/>
  <c r="H68" i="35"/>
  <c r="H93" i="35"/>
  <c r="G102" i="35"/>
  <c r="E102" i="35" s="1"/>
  <c r="H21" i="35"/>
  <c r="E129" i="35"/>
  <c r="H110" i="35"/>
  <c r="I15" i="35"/>
  <c r="I10" i="35" s="1"/>
  <c r="G41" i="35"/>
  <c r="F85" i="35"/>
  <c r="F90" i="35"/>
  <c r="E90" i="35" s="1"/>
  <c r="E167" i="35"/>
  <c r="G175" i="35"/>
  <c r="H176" i="35"/>
  <c r="I89" i="35"/>
  <c r="I98" i="35"/>
  <c r="E104" i="35"/>
  <c r="H126" i="35"/>
  <c r="H150" i="35"/>
  <c r="F175" i="35"/>
  <c r="H44" i="35"/>
  <c r="E45" i="35"/>
  <c r="E68" i="35"/>
  <c r="G85" i="35"/>
  <c r="H107" i="35"/>
  <c r="G140" i="35"/>
  <c r="E140" i="35" s="1"/>
  <c r="I146" i="35"/>
  <c r="J166" i="35"/>
  <c r="G145" i="35"/>
  <c r="E145" i="35" s="1"/>
  <c r="E65" i="35"/>
  <c r="D65" i="35" s="1"/>
  <c r="J67" i="35"/>
  <c r="I106" i="35"/>
  <c r="E115" i="35"/>
  <c r="J114" i="35"/>
  <c r="E147" i="35"/>
  <c r="F166" i="35"/>
  <c r="G54" i="35"/>
  <c r="E55" i="35"/>
  <c r="C55" i="35" s="1"/>
  <c r="H90" i="35"/>
  <c r="E112" i="35"/>
  <c r="H121" i="35"/>
  <c r="E121" i="35" s="1"/>
  <c r="H170" i="35"/>
  <c r="E21" i="35"/>
  <c r="E39" i="35"/>
  <c r="D39" i="35" s="1"/>
  <c r="H51" i="35"/>
  <c r="H79" i="35"/>
  <c r="J89" i="35"/>
  <c r="F99" i="35"/>
  <c r="E99" i="35" s="1"/>
  <c r="H102" i="35"/>
  <c r="F107" i="35"/>
  <c r="F118" i="35"/>
  <c r="F114" i="35" s="1"/>
  <c r="J131" i="35"/>
  <c r="H140" i="35"/>
  <c r="F146" i="35"/>
  <c r="J146" i="35"/>
  <c r="G153" i="35"/>
  <c r="E153" i="35" s="1"/>
  <c r="E172" i="35"/>
  <c r="H184" i="35"/>
  <c r="G15" i="35"/>
  <c r="G34" i="35"/>
  <c r="H61" i="35"/>
  <c r="H99" i="35"/>
  <c r="E110" i="35"/>
  <c r="H147" i="35"/>
  <c r="I175" i="35"/>
  <c r="F10" i="35"/>
  <c r="E20" i="35"/>
  <c r="F41" i="35"/>
  <c r="E84" i="35"/>
  <c r="E123" i="35"/>
  <c r="C123" i="35" s="1"/>
  <c r="H167" i="35"/>
  <c r="I166" i="35"/>
  <c r="E105" i="35"/>
  <c r="D105" i="35" s="1"/>
  <c r="H135" i="35"/>
  <c r="I134" i="35"/>
  <c r="G11" i="35"/>
  <c r="H16" i="35"/>
  <c r="C16" i="35" s="1"/>
  <c r="E113" i="35"/>
  <c r="D113" i="35" s="1"/>
  <c r="H54" i="35"/>
  <c r="I50" i="35"/>
  <c r="E176" i="35"/>
  <c r="G118" i="35"/>
  <c r="E135" i="35"/>
  <c r="E163" i="35"/>
  <c r="G158" i="35"/>
  <c r="G154" i="35" s="1"/>
  <c r="E184" i="35"/>
  <c r="E190" i="35"/>
  <c r="I34" i="35"/>
  <c r="E46" i="35"/>
  <c r="G93" i="35"/>
  <c r="G97" i="35"/>
  <c r="I115" i="35"/>
  <c r="I155" i="35"/>
  <c r="H158" i="35"/>
  <c r="H190" i="35"/>
  <c r="H133" i="35"/>
  <c r="C133" i="35" s="1"/>
  <c r="E50" i="35"/>
  <c r="F48" i="35"/>
  <c r="E53" i="35"/>
  <c r="D53" i="35" s="1"/>
  <c r="F51" i="35"/>
  <c r="E51" i="35" s="1"/>
  <c r="F67" i="35"/>
  <c r="H71" i="35"/>
  <c r="I67" i="35"/>
  <c r="G71" i="35"/>
  <c r="E71" i="35" s="1"/>
  <c r="E117" i="35"/>
  <c r="F132" i="35"/>
  <c r="E134" i="35"/>
  <c r="J47" i="35"/>
  <c r="E77" i="35"/>
  <c r="J106" i="35"/>
  <c r="H10" i="27"/>
  <c r="G10" i="27"/>
  <c r="C114" i="27"/>
  <c r="C48" i="27"/>
  <c r="C98" i="27"/>
  <c r="C143" i="27"/>
  <c r="C187" i="27"/>
  <c r="C85" i="27"/>
  <c r="C163" i="27"/>
  <c r="C12" i="27"/>
  <c r="C68" i="27"/>
  <c r="C151" i="27"/>
  <c r="D34" i="27"/>
  <c r="C34" i="27" s="1"/>
  <c r="C36" i="27"/>
  <c r="D11" i="27"/>
  <c r="AC181" i="27"/>
  <c r="AC12" i="27"/>
  <c r="Y12" i="27"/>
  <c r="AC17" i="27"/>
  <c r="AD172" i="27"/>
  <c r="AC172" i="27" s="1"/>
  <c r="AF10" i="27"/>
  <c r="AA10" i="27"/>
  <c r="AD151" i="27"/>
  <c r="AC151" i="27" s="1"/>
  <c r="AC34" i="27" s="1"/>
  <c r="AB10" i="27"/>
  <c r="Z48" i="27"/>
  <c r="Z34" i="27" s="1"/>
  <c r="Z151" i="27"/>
  <c r="Y151" i="27" s="1"/>
  <c r="X172" i="27"/>
  <c r="L174" i="27"/>
  <c r="L176" i="27"/>
  <c r="K176" i="27" s="1"/>
  <c r="L178" i="27"/>
  <c r="K178" i="27" s="1"/>
  <c r="L180" i="27"/>
  <c r="K180" i="27" s="1"/>
  <c r="K187" i="27"/>
  <c r="AD184" i="35" l="1"/>
  <c r="Z67" i="35"/>
  <c r="AD140" i="35"/>
  <c r="Q48" i="35"/>
  <c r="R172" i="27"/>
  <c r="S47" i="35"/>
  <c r="D58" i="35"/>
  <c r="AE175" i="35"/>
  <c r="L114" i="35"/>
  <c r="K114" i="35" s="1"/>
  <c r="D112" i="35"/>
  <c r="AE98" i="35"/>
  <c r="Q126" i="35"/>
  <c r="D13" i="35"/>
  <c r="AF154" i="35"/>
  <c r="N42" i="35"/>
  <c r="D44" i="35"/>
  <c r="AD21" i="35"/>
  <c r="AD15" i="35" s="1"/>
  <c r="AD10" i="35" s="1"/>
  <c r="AD9" i="35" s="1"/>
  <c r="Q61" i="35"/>
  <c r="Q110" i="35"/>
  <c r="Q170" i="35"/>
  <c r="AD41" i="35"/>
  <c r="U172" i="27"/>
  <c r="K174" i="27"/>
  <c r="K173" i="27" s="1"/>
  <c r="L173" i="27"/>
  <c r="U32" i="35"/>
  <c r="U8" i="35" s="1"/>
  <c r="AF118" i="35"/>
  <c r="Q79" i="35"/>
  <c r="AO32" i="35"/>
  <c r="AO8" i="35" s="1"/>
  <c r="Z89" i="35"/>
  <c r="D187" i="35"/>
  <c r="D128" i="35"/>
  <c r="AD102" i="35"/>
  <c r="Q71" i="35"/>
  <c r="AH32" i="35"/>
  <c r="D133" i="35"/>
  <c r="D156" i="35"/>
  <c r="D60" i="35"/>
  <c r="D180" i="35"/>
  <c r="AD61" i="35"/>
  <c r="N131" i="35"/>
  <c r="Q140" i="35"/>
  <c r="N71" i="35"/>
  <c r="D181" i="35"/>
  <c r="K182" i="27"/>
  <c r="K181" i="27" s="1"/>
  <c r="L181" i="27"/>
  <c r="L187" i="27"/>
  <c r="Y17" i="27"/>
  <c r="Y48" i="27"/>
  <c r="Y34" i="27" s="1"/>
  <c r="D70" i="35"/>
  <c r="AK32" i="35"/>
  <c r="AK8" i="35" s="1"/>
  <c r="Q54" i="35"/>
  <c r="D76" i="35"/>
  <c r="D183" i="35"/>
  <c r="AD34" i="27"/>
  <c r="O172" i="27"/>
  <c r="AG172" i="27" s="1"/>
  <c r="AG181" i="27"/>
  <c r="L11" i="36"/>
  <c r="F11" i="36" s="1"/>
  <c r="M14" i="32" s="1"/>
  <c r="F13" i="32" s="1"/>
  <c r="N14" i="32"/>
  <c r="E12" i="25"/>
  <c r="E11" i="25" s="1"/>
  <c r="E21" i="36"/>
  <c r="F34" i="36"/>
  <c r="D29" i="25" s="1"/>
  <c r="E29" i="25"/>
  <c r="F156" i="36"/>
  <c r="D69" i="25"/>
  <c r="D60" i="25" s="1"/>
  <c r="D55" i="25" s="1"/>
  <c r="E30" i="25"/>
  <c r="E175" i="36"/>
  <c r="D44" i="25"/>
  <c r="F90" i="36"/>
  <c r="M156" i="36"/>
  <c r="E40" i="25" s="1"/>
  <c r="E34" i="25"/>
  <c r="E32" i="25"/>
  <c r="M118" i="36"/>
  <c r="E164" i="36"/>
  <c r="G8" i="30"/>
  <c r="G23" i="33"/>
  <c r="H23" i="33" s="1"/>
  <c r="E8" i="34"/>
  <c r="E16" i="36"/>
  <c r="R32" i="36"/>
  <c r="E36" i="25"/>
  <c r="E38" i="25"/>
  <c r="E27" i="36"/>
  <c r="F15" i="36"/>
  <c r="R10" i="36"/>
  <c r="E35" i="25"/>
  <c r="E69" i="25"/>
  <c r="E60" i="25" s="1"/>
  <c r="E119" i="36"/>
  <c r="D26" i="23"/>
  <c r="E33" i="25"/>
  <c r="E20" i="36"/>
  <c r="F27" i="23"/>
  <c r="E27" i="23"/>
  <c r="E41" i="25"/>
  <c r="E30" i="36"/>
  <c r="D26" i="25"/>
  <c r="E15" i="34"/>
  <c r="D30" i="25"/>
  <c r="C31" i="26" s="1"/>
  <c r="E103" i="36"/>
  <c r="D39" i="25"/>
  <c r="C40" i="26" s="1"/>
  <c r="E105" i="36"/>
  <c r="F104" i="36"/>
  <c r="E104" i="36" s="1"/>
  <c r="E54" i="36"/>
  <c r="G50" i="36"/>
  <c r="E137" i="36"/>
  <c r="D38" i="25"/>
  <c r="E11" i="36"/>
  <c r="E169" i="36"/>
  <c r="D41" i="25"/>
  <c r="F109" i="36"/>
  <c r="D37" i="25"/>
  <c r="F51" i="36"/>
  <c r="E177" i="36"/>
  <c r="E191" i="36"/>
  <c r="E185" i="36"/>
  <c r="F176" i="36"/>
  <c r="E151" i="36"/>
  <c r="N10" i="36"/>
  <c r="M15" i="36"/>
  <c r="M176" i="36"/>
  <c r="G10" i="36"/>
  <c r="C34" i="36"/>
  <c r="D34" i="36" s="1"/>
  <c r="C169" i="36"/>
  <c r="C72" i="36"/>
  <c r="C191" i="36"/>
  <c r="N51" i="36"/>
  <c r="C151" i="36"/>
  <c r="C104" i="36"/>
  <c r="C156" i="36"/>
  <c r="D43" i="35"/>
  <c r="Q42" i="35"/>
  <c r="AI32" i="35"/>
  <c r="AE131" i="35"/>
  <c r="Z114" i="35"/>
  <c r="D123" i="35"/>
  <c r="AF15" i="35"/>
  <c r="AF10" i="35" s="1"/>
  <c r="AF9" i="35" s="1"/>
  <c r="Q135" i="35"/>
  <c r="Q115" i="35"/>
  <c r="D78" i="35"/>
  <c r="D104" i="35"/>
  <c r="C35" i="35"/>
  <c r="O67" i="35"/>
  <c r="S89" i="35"/>
  <c r="AE166" i="35"/>
  <c r="O175" i="35"/>
  <c r="N175" i="35" s="1"/>
  <c r="D109" i="35"/>
  <c r="D125" i="35"/>
  <c r="Q118" i="35"/>
  <c r="AL166" i="35"/>
  <c r="Q184" i="35"/>
  <c r="Q167" i="35"/>
  <c r="Q166" i="35" s="1"/>
  <c r="AF67" i="35"/>
  <c r="D196" i="35"/>
  <c r="D143" i="35"/>
  <c r="D29" i="35"/>
  <c r="S106" i="35"/>
  <c r="D55" i="35"/>
  <c r="D186" i="35"/>
  <c r="AJ32" i="35"/>
  <c r="AJ8" i="35" s="1"/>
  <c r="D120" i="35"/>
  <c r="D80" i="35"/>
  <c r="L175" i="35"/>
  <c r="Q99" i="35"/>
  <c r="Q98" i="35" s="1"/>
  <c r="AD51" i="35"/>
  <c r="D51" i="35" s="1"/>
  <c r="O47" i="35"/>
  <c r="R98" i="35"/>
  <c r="O154" i="35"/>
  <c r="AF114" i="35"/>
  <c r="AF175" i="35"/>
  <c r="AE154" i="35"/>
  <c r="AM32" i="35"/>
  <c r="AM8" i="35" s="1"/>
  <c r="Z131" i="35"/>
  <c r="AG32" i="35"/>
  <c r="AG8" i="35" s="1"/>
  <c r="D28" i="35"/>
  <c r="D57" i="35"/>
  <c r="W32" i="35"/>
  <c r="W8" i="35" s="1"/>
  <c r="AC32" i="35"/>
  <c r="AC8" i="35" s="1"/>
  <c r="AD71" i="35"/>
  <c r="Q85" i="35"/>
  <c r="D95" i="35"/>
  <c r="AL67" i="35"/>
  <c r="D169" i="35"/>
  <c r="D31" i="35"/>
  <c r="K176" i="35"/>
  <c r="C20" i="35"/>
  <c r="D20" i="35"/>
  <c r="Q150" i="35"/>
  <c r="Q146" i="35" s="1"/>
  <c r="D151" i="35"/>
  <c r="C172" i="35"/>
  <c r="D172" i="35"/>
  <c r="C77" i="35"/>
  <c r="D77" i="35"/>
  <c r="C46" i="35"/>
  <c r="D46" i="35"/>
  <c r="C84" i="35"/>
  <c r="D84" i="35"/>
  <c r="Q90" i="35"/>
  <c r="D90" i="35" s="1"/>
  <c r="D92" i="35"/>
  <c r="D149" i="35"/>
  <c r="D81" i="35"/>
  <c r="D74" i="35"/>
  <c r="D192" i="35"/>
  <c r="D190" i="35" s="1"/>
  <c r="R67" i="35"/>
  <c r="Q131" i="35"/>
  <c r="D116" i="35"/>
  <c r="D185" i="35"/>
  <c r="D184" i="35" s="1"/>
  <c r="AD126" i="35"/>
  <c r="D126" i="35" s="1"/>
  <c r="D168" i="35"/>
  <c r="D49" i="35"/>
  <c r="D140" i="35"/>
  <c r="D45" i="35"/>
  <c r="D167" i="35"/>
  <c r="D102" i="35"/>
  <c r="AE47" i="35"/>
  <c r="Q93" i="35"/>
  <c r="Q106" i="35"/>
  <c r="L131" i="35"/>
  <c r="K131" i="35" s="1"/>
  <c r="S146" i="35"/>
  <c r="S166" i="35"/>
  <c r="N98" i="35"/>
  <c r="N35" i="35"/>
  <c r="D73" i="35"/>
  <c r="Q35" i="35"/>
  <c r="Q34" i="35" s="1"/>
  <c r="O89" i="35"/>
  <c r="N89" i="35" s="1"/>
  <c r="D162" i="35"/>
  <c r="D117" i="35"/>
  <c r="AD99" i="35"/>
  <c r="AD98" i="35" s="1"/>
  <c r="D72" i="35"/>
  <c r="AD79" i="35"/>
  <c r="D177" i="35"/>
  <c r="C153" i="35"/>
  <c r="D153" i="35"/>
  <c r="C129" i="35"/>
  <c r="D129" i="35"/>
  <c r="C163" i="35"/>
  <c r="D163" i="35"/>
  <c r="C145" i="35"/>
  <c r="D145" i="35"/>
  <c r="D71" i="35"/>
  <c r="AD158" i="35"/>
  <c r="AB32" i="35"/>
  <c r="AB8" i="35" s="1"/>
  <c r="AD147" i="35"/>
  <c r="AD146" i="35" s="1"/>
  <c r="AD176" i="35"/>
  <c r="AD175" i="35" s="1"/>
  <c r="D110" i="35"/>
  <c r="D68" i="35"/>
  <c r="D79" i="35"/>
  <c r="V32" i="35"/>
  <c r="L67" i="35"/>
  <c r="AD89" i="35"/>
  <c r="AD135" i="35"/>
  <c r="D135" i="35" s="1"/>
  <c r="P154" i="35"/>
  <c r="Q21" i="35"/>
  <c r="D21" i="35" s="1"/>
  <c r="AP8" i="35"/>
  <c r="AF47" i="35"/>
  <c r="AF32" i="35" s="1"/>
  <c r="AF8" i="35" s="1"/>
  <c r="N81" i="35"/>
  <c r="D87" i="35"/>
  <c r="D94" i="35"/>
  <c r="D62" i="35"/>
  <c r="D63" i="35"/>
  <c r="L166" i="35"/>
  <c r="K166" i="35" s="1"/>
  <c r="K177" i="35"/>
  <c r="D111" i="35"/>
  <c r="D103" i="35"/>
  <c r="D182" i="35"/>
  <c r="D108" i="35"/>
  <c r="AL131" i="35"/>
  <c r="AN32" i="35"/>
  <c r="AN8" i="35" s="1"/>
  <c r="AD121" i="35"/>
  <c r="D121" i="35" s="1"/>
  <c r="D119" i="35"/>
  <c r="AD85" i="35"/>
  <c r="D86" i="35"/>
  <c r="AD54" i="35"/>
  <c r="D56" i="35"/>
  <c r="AD48" i="35"/>
  <c r="AD155" i="35"/>
  <c r="D157" i="35"/>
  <c r="AD106" i="35"/>
  <c r="D37" i="35"/>
  <c r="AD35" i="35"/>
  <c r="D35" i="35" s="1"/>
  <c r="D34" i="35" s="1"/>
  <c r="N67" i="35"/>
  <c r="C117" i="35"/>
  <c r="C112" i="35"/>
  <c r="C104" i="35"/>
  <c r="C53" i="35"/>
  <c r="C45" i="35"/>
  <c r="C41" i="35" s="1"/>
  <c r="C113" i="35"/>
  <c r="C39" i="35"/>
  <c r="C121" i="35"/>
  <c r="C44" i="35"/>
  <c r="C105" i="35"/>
  <c r="C51" i="35"/>
  <c r="C68" i="35"/>
  <c r="P47" i="35"/>
  <c r="N47" i="35" s="1"/>
  <c r="K67" i="35"/>
  <c r="V8" i="35"/>
  <c r="P118" i="35"/>
  <c r="N119" i="35"/>
  <c r="AD67" i="35"/>
  <c r="AI8" i="35"/>
  <c r="M10" i="35"/>
  <c r="M9" i="35" s="1"/>
  <c r="K13" i="35"/>
  <c r="R15" i="35"/>
  <c r="R10" i="35" s="1"/>
  <c r="R9" i="35" s="1"/>
  <c r="M32" i="35"/>
  <c r="AH8" i="35"/>
  <c r="T10" i="35"/>
  <c r="L15" i="35"/>
  <c r="K15" i="35" s="1"/>
  <c r="M175" i="35"/>
  <c r="N10" i="35"/>
  <c r="P9" i="35"/>
  <c r="N41" i="35"/>
  <c r="Q16" i="35"/>
  <c r="D16" i="35" s="1"/>
  <c r="AD166" i="35"/>
  <c r="AL32" i="35"/>
  <c r="AL8" i="35" s="1"/>
  <c r="Z32" i="35"/>
  <c r="Z8" i="35" s="1"/>
  <c r="Q175" i="35"/>
  <c r="Y32" i="35"/>
  <c r="AA32" i="35"/>
  <c r="AA8" i="35" s="1"/>
  <c r="X32" i="35"/>
  <c r="X8" i="35" s="1"/>
  <c r="S114" i="35"/>
  <c r="S32" i="35" s="1"/>
  <c r="S8" i="35" s="1"/>
  <c r="Q67" i="35"/>
  <c r="T32" i="35"/>
  <c r="L32" i="35" s="1"/>
  <c r="AE32" i="35"/>
  <c r="AE8" i="35" s="1"/>
  <c r="Q47" i="35"/>
  <c r="R47" i="35"/>
  <c r="C190" i="35"/>
  <c r="H98" i="35"/>
  <c r="H175" i="35"/>
  <c r="C79" i="35"/>
  <c r="C21" i="35"/>
  <c r="E150" i="35"/>
  <c r="C71" i="35"/>
  <c r="G98" i="35"/>
  <c r="F154" i="35"/>
  <c r="E154" i="35" s="1"/>
  <c r="C90" i="35"/>
  <c r="C126" i="35"/>
  <c r="C147" i="35"/>
  <c r="C102" i="35"/>
  <c r="C110" i="35"/>
  <c r="C135" i="35"/>
  <c r="F89" i="35"/>
  <c r="C140" i="35"/>
  <c r="E61" i="35"/>
  <c r="C65" i="35"/>
  <c r="G114" i="35"/>
  <c r="E114" i="35" s="1"/>
  <c r="C99" i="35"/>
  <c r="C167" i="35"/>
  <c r="E166" i="35"/>
  <c r="E170" i="35"/>
  <c r="H146" i="35"/>
  <c r="E85" i="35"/>
  <c r="H89" i="35"/>
  <c r="H67" i="35"/>
  <c r="H106" i="35"/>
  <c r="G201" i="35"/>
  <c r="E41" i="35"/>
  <c r="G47" i="35"/>
  <c r="H166" i="35"/>
  <c r="J32" i="35"/>
  <c r="J8" i="35" s="1"/>
  <c r="E107" i="35"/>
  <c r="C107" i="35" s="1"/>
  <c r="F106" i="35"/>
  <c r="G33" i="35"/>
  <c r="E33" i="35" s="1"/>
  <c r="E54" i="35"/>
  <c r="C54" i="35" s="1"/>
  <c r="E146" i="35"/>
  <c r="E118" i="35"/>
  <c r="C118" i="35" s="1"/>
  <c r="G106" i="35"/>
  <c r="F98" i="35"/>
  <c r="G67" i="35"/>
  <c r="E11" i="35"/>
  <c r="C11" i="35" s="1"/>
  <c r="G10" i="35"/>
  <c r="G9" i="35" s="1"/>
  <c r="F9" i="35"/>
  <c r="H115" i="35"/>
  <c r="C115" i="35" s="1"/>
  <c r="I114" i="35"/>
  <c r="H114" i="35" s="1"/>
  <c r="G89" i="35"/>
  <c r="E93" i="35"/>
  <c r="H34" i="35"/>
  <c r="E34" i="35"/>
  <c r="E15" i="35"/>
  <c r="E158" i="35"/>
  <c r="G131" i="35"/>
  <c r="H155" i="35"/>
  <c r="C155" i="35" s="1"/>
  <c r="I154" i="35"/>
  <c r="E175" i="35"/>
  <c r="H134" i="35"/>
  <c r="D134" i="35" s="1"/>
  <c r="I48" i="35"/>
  <c r="H50" i="35"/>
  <c r="C50" i="35" s="1"/>
  <c r="H15" i="35"/>
  <c r="F131" i="35"/>
  <c r="E132" i="35"/>
  <c r="F47" i="35"/>
  <c r="E48" i="35"/>
  <c r="E97" i="35"/>
  <c r="D97" i="35" s="1"/>
  <c r="I9" i="35"/>
  <c r="H10" i="35"/>
  <c r="I132" i="35"/>
  <c r="D10" i="27"/>
  <c r="C10" i="27" s="1"/>
  <c r="C11" i="27"/>
  <c r="AD10" i="27"/>
  <c r="AC10" i="27" s="1"/>
  <c r="Z10" i="27"/>
  <c r="Y10" i="27" s="1"/>
  <c r="K172" i="27"/>
  <c r="R32" i="35" l="1"/>
  <c r="L172" i="27"/>
  <c r="K175" i="35"/>
  <c r="C114" i="35"/>
  <c r="D99" i="35"/>
  <c r="D98" i="35" s="1"/>
  <c r="Q114" i="35"/>
  <c r="D47" i="25"/>
  <c r="G13" i="32"/>
  <c r="F13" i="33"/>
  <c r="L10" i="36"/>
  <c r="L9" i="36" s="1"/>
  <c r="C39" i="25"/>
  <c r="C30" i="26"/>
  <c r="C29" i="25"/>
  <c r="D24" i="33"/>
  <c r="C45" i="26"/>
  <c r="C44" i="25"/>
  <c r="G9" i="36"/>
  <c r="F10" i="36"/>
  <c r="E37" i="25"/>
  <c r="M10" i="36"/>
  <c r="D24" i="23"/>
  <c r="D46" i="23"/>
  <c r="C69" i="25"/>
  <c r="C27" i="26"/>
  <c r="C26" i="25"/>
  <c r="D22" i="23"/>
  <c r="E90" i="36"/>
  <c r="E15" i="36"/>
  <c r="E26" i="23"/>
  <c r="F26" i="23"/>
  <c r="R9" i="36"/>
  <c r="D12" i="25"/>
  <c r="D11" i="25" s="1"/>
  <c r="E156" i="36"/>
  <c r="C30" i="25"/>
  <c r="E118" i="36"/>
  <c r="D39" i="23"/>
  <c r="E39" i="23" s="1"/>
  <c r="E109" i="36"/>
  <c r="D35" i="25"/>
  <c r="D33" i="23"/>
  <c r="F33" i="23" s="1"/>
  <c r="D42" i="23"/>
  <c r="E42" i="23" s="1"/>
  <c r="D37" i="23"/>
  <c r="D38" i="23" s="1"/>
  <c r="E38" i="23" s="1"/>
  <c r="G32" i="36"/>
  <c r="G8" i="36" s="1"/>
  <c r="F50" i="36"/>
  <c r="C60" i="25"/>
  <c r="E55" i="25"/>
  <c r="D16" i="23"/>
  <c r="C42" i="26"/>
  <c r="C41" i="25"/>
  <c r="C38" i="26"/>
  <c r="D36" i="25"/>
  <c r="C37" i="26" s="1"/>
  <c r="D31" i="23"/>
  <c r="E31" i="23" s="1"/>
  <c r="D33" i="25"/>
  <c r="D23" i="25"/>
  <c r="C23" i="25" s="1"/>
  <c r="C38" i="25"/>
  <c r="C39" i="26"/>
  <c r="D40" i="25"/>
  <c r="N50" i="36"/>
  <c r="M51" i="36"/>
  <c r="C10" i="36"/>
  <c r="C9" i="36" s="1"/>
  <c r="N9" i="36"/>
  <c r="E176" i="36"/>
  <c r="C118" i="36"/>
  <c r="C137" i="36"/>
  <c r="D137" i="36" s="1"/>
  <c r="C93" i="36"/>
  <c r="Q41" i="35"/>
  <c r="D42" i="35"/>
  <c r="D41" i="35" s="1"/>
  <c r="C34" i="35"/>
  <c r="N154" i="35"/>
  <c r="E98" i="35"/>
  <c r="AD131" i="35"/>
  <c r="D176" i="35"/>
  <c r="D175" i="35" s="1"/>
  <c r="D147" i="35"/>
  <c r="D146" i="35" s="1"/>
  <c r="D67" i="35"/>
  <c r="D11" i="35"/>
  <c r="C150" i="35"/>
  <c r="C146" i="35" s="1"/>
  <c r="D150" i="35"/>
  <c r="C170" i="35"/>
  <c r="C166" i="35" s="1"/>
  <c r="D170" i="35"/>
  <c r="D166" i="35" s="1"/>
  <c r="D107" i="35"/>
  <c r="D106" i="35" s="1"/>
  <c r="D115" i="35"/>
  <c r="Q89" i="35"/>
  <c r="C158" i="35"/>
  <c r="D158" i="35"/>
  <c r="C93" i="35"/>
  <c r="C89" i="35" s="1"/>
  <c r="D93" i="35"/>
  <c r="D89" i="35" s="1"/>
  <c r="C61" i="35"/>
  <c r="D61" i="35"/>
  <c r="C33" i="35"/>
  <c r="D33" i="35"/>
  <c r="D54" i="35"/>
  <c r="D85" i="35"/>
  <c r="D50" i="35"/>
  <c r="AD118" i="35"/>
  <c r="D118" i="35" s="1"/>
  <c r="D114" i="35" s="1"/>
  <c r="AD47" i="35"/>
  <c r="AD154" i="35"/>
  <c r="D155" i="35"/>
  <c r="AD34" i="35"/>
  <c r="C134" i="35"/>
  <c r="C97" i="35"/>
  <c r="K32" i="35"/>
  <c r="P114" i="35"/>
  <c r="N118" i="35"/>
  <c r="R8" i="35"/>
  <c r="Y8" i="35"/>
  <c r="O8" i="35" s="1"/>
  <c r="O32" i="35"/>
  <c r="Q15" i="35"/>
  <c r="Q10" i="35" s="1"/>
  <c r="Q9" i="35" s="1"/>
  <c r="T9" i="35"/>
  <c r="L9" i="35" s="1"/>
  <c r="K9" i="35" s="1"/>
  <c r="L10" i="35"/>
  <c r="K10" i="35" s="1"/>
  <c r="N9" i="35"/>
  <c r="M8" i="35"/>
  <c r="C67" i="35"/>
  <c r="C154" i="35"/>
  <c r="C15" i="35"/>
  <c r="C98" i="35"/>
  <c r="C106" i="35"/>
  <c r="E67" i="35"/>
  <c r="G32" i="35"/>
  <c r="G8" i="35" s="1"/>
  <c r="E106" i="35"/>
  <c r="E47" i="35"/>
  <c r="E10" i="35"/>
  <c r="E131" i="35"/>
  <c r="E89" i="35"/>
  <c r="H154" i="35"/>
  <c r="H48" i="35"/>
  <c r="C48" i="35" s="1"/>
  <c r="C47" i="35" s="1"/>
  <c r="I47" i="35"/>
  <c r="E9" i="35"/>
  <c r="F32" i="35"/>
  <c r="F8" i="35" s="1"/>
  <c r="H132" i="35"/>
  <c r="I131" i="35"/>
  <c r="H131" i="35" s="1"/>
  <c r="H9" i="35"/>
  <c r="Q137" i="27"/>
  <c r="P117" i="27"/>
  <c r="V133" i="27"/>
  <c r="V132" i="27" s="1"/>
  <c r="V131" i="27"/>
  <c r="V121" i="27"/>
  <c r="V118" i="27" s="1"/>
  <c r="V116" i="27"/>
  <c r="U116" i="27"/>
  <c r="Q199" i="27"/>
  <c r="U13" i="27"/>
  <c r="U20" i="27"/>
  <c r="Q160" i="27"/>
  <c r="Q161" i="27" s="1"/>
  <c r="P153" i="27"/>
  <c r="P86" i="27"/>
  <c r="M86" i="27" s="1"/>
  <c r="Q169" i="27"/>
  <c r="Q167" i="27" s="1"/>
  <c r="P154" i="27"/>
  <c r="Q13" i="27"/>
  <c r="Q171" i="27"/>
  <c r="O171" i="27" s="1"/>
  <c r="Q66" i="27"/>
  <c r="Q40" i="27"/>
  <c r="N40" i="27" s="1"/>
  <c r="P91" i="27"/>
  <c r="O91" i="27" s="1"/>
  <c r="P100" i="27"/>
  <c r="P54" i="27"/>
  <c r="V153" i="27"/>
  <c r="O94" i="27"/>
  <c r="P152" i="27"/>
  <c r="P132" i="27"/>
  <c r="M132" i="27" s="1"/>
  <c r="Q104" i="27"/>
  <c r="O104" i="27" s="1"/>
  <c r="Q87" i="27"/>
  <c r="P155" i="27"/>
  <c r="S155" i="27"/>
  <c r="T155" i="27"/>
  <c r="T151" i="27" s="1"/>
  <c r="W155" i="27"/>
  <c r="V155" i="27"/>
  <c r="Q157" i="27"/>
  <c r="N157" i="27" s="1"/>
  <c r="M131" i="27"/>
  <c r="M119" i="27"/>
  <c r="T118" i="27"/>
  <c r="R118" i="27" s="1"/>
  <c r="R119" i="27"/>
  <c r="R22" i="27"/>
  <c r="S23" i="27"/>
  <c r="V23" i="27"/>
  <c r="AL23" i="27" s="1"/>
  <c r="Q23" i="27"/>
  <c r="P23" i="27"/>
  <c r="P17" i="27" s="1"/>
  <c r="P12" i="27" s="1"/>
  <c r="P11" i="27" s="1"/>
  <c r="R26" i="27"/>
  <c r="O26" i="27"/>
  <c r="N26" i="27"/>
  <c r="M26" i="27"/>
  <c r="U16" i="27"/>
  <c r="AL16" i="27"/>
  <c r="AL9" i="27"/>
  <c r="R192" i="27"/>
  <c r="P109" i="27"/>
  <c r="S62" i="27"/>
  <c r="P52" i="27"/>
  <c r="Q64" i="27"/>
  <c r="R127" i="27"/>
  <c r="T62" i="27"/>
  <c r="V85" i="27"/>
  <c r="AQ170" i="27"/>
  <c r="AM130" i="27"/>
  <c r="AL130" i="27"/>
  <c r="P38" i="27"/>
  <c r="AL153" i="27"/>
  <c r="U193" i="27"/>
  <c r="AG193" i="27" s="1"/>
  <c r="Q46" i="27"/>
  <c r="N46" i="27" s="1"/>
  <c r="V45" i="27"/>
  <c r="N65" i="27"/>
  <c r="N63" i="27"/>
  <c r="O158" i="27"/>
  <c r="AG158" i="27" s="1"/>
  <c r="N158" i="27"/>
  <c r="M158" i="27"/>
  <c r="L158" i="27" s="1"/>
  <c r="K158" i="27" s="1"/>
  <c r="P137" i="27"/>
  <c r="O139" i="27"/>
  <c r="AG139" i="27" s="1"/>
  <c r="N139" i="27"/>
  <c r="M139" i="27"/>
  <c r="L139" i="27" s="1"/>
  <c r="K139" i="27" s="1"/>
  <c r="P124" i="27"/>
  <c r="O126" i="27"/>
  <c r="AG126" i="27" s="1"/>
  <c r="N126" i="27"/>
  <c r="M126" i="27"/>
  <c r="O95" i="27"/>
  <c r="AG95" i="27" s="1"/>
  <c r="P93" i="27"/>
  <c r="N95" i="27"/>
  <c r="M95" i="27"/>
  <c r="Q79" i="27"/>
  <c r="P79" i="27"/>
  <c r="O81" i="27"/>
  <c r="AG81" i="27" s="1"/>
  <c r="N81" i="27"/>
  <c r="M81" i="27"/>
  <c r="O65" i="27"/>
  <c r="AG65" i="27" s="1"/>
  <c r="M65" i="27"/>
  <c r="T52" i="27"/>
  <c r="S52" i="27"/>
  <c r="X23" i="27"/>
  <c r="AM23" i="27" s="1"/>
  <c r="V18" i="27"/>
  <c r="AL18" i="27" s="1"/>
  <c r="S147" i="27"/>
  <c r="T147" i="27"/>
  <c r="R147" i="27" s="1"/>
  <c r="T144" i="27"/>
  <c r="S144" i="27"/>
  <c r="S130" i="27"/>
  <c r="T130" i="27"/>
  <c r="T79" i="27"/>
  <c r="R79" i="27" s="1"/>
  <c r="S115" i="27"/>
  <c r="T115" i="27"/>
  <c r="S69" i="27"/>
  <c r="T69" i="27"/>
  <c r="S72" i="27"/>
  <c r="T72" i="27"/>
  <c r="N15" i="27"/>
  <c r="O15" i="27"/>
  <c r="U24" i="27"/>
  <c r="M16" i="27"/>
  <c r="AL191" i="27"/>
  <c r="AN190" i="27"/>
  <c r="AL187" i="27"/>
  <c r="AL172" i="27"/>
  <c r="AL171" i="27"/>
  <c r="AL33" i="27"/>
  <c r="AL32" i="27"/>
  <c r="AL31" i="27"/>
  <c r="AL30" i="27"/>
  <c r="AL29" i="27"/>
  <c r="AL28" i="27"/>
  <c r="AL27" i="27"/>
  <c r="AM25" i="27"/>
  <c r="AL25" i="27"/>
  <c r="AM24" i="27"/>
  <c r="AL24" i="27"/>
  <c r="AL22" i="27"/>
  <c r="AL21" i="27"/>
  <c r="AL20" i="27"/>
  <c r="AL19" i="27"/>
  <c r="AL15" i="27"/>
  <c r="AL14" i="27"/>
  <c r="AN220" i="27"/>
  <c r="AN193" i="27"/>
  <c r="AN192" i="27"/>
  <c r="AP34" i="27"/>
  <c r="R193" i="27"/>
  <c r="R191" i="27"/>
  <c r="R190" i="27"/>
  <c r="R171" i="27"/>
  <c r="R170" i="27"/>
  <c r="R169" i="27"/>
  <c r="R168" i="27"/>
  <c r="R167" i="27"/>
  <c r="R166" i="27"/>
  <c r="R165" i="27"/>
  <c r="R164" i="27"/>
  <c r="R163" i="27"/>
  <c r="R162" i="27"/>
  <c r="R161" i="27"/>
  <c r="R160" i="27"/>
  <c r="R159" i="27"/>
  <c r="R157" i="27"/>
  <c r="R156" i="27"/>
  <c r="R154" i="27"/>
  <c r="R153" i="27"/>
  <c r="R152" i="27"/>
  <c r="R150" i="27"/>
  <c r="R149" i="27"/>
  <c r="R148" i="27"/>
  <c r="R146" i="27"/>
  <c r="R145" i="27"/>
  <c r="R142" i="27"/>
  <c r="R141" i="27"/>
  <c r="R138" i="27"/>
  <c r="R136" i="27"/>
  <c r="R135" i="27"/>
  <c r="R134" i="27"/>
  <c r="R133" i="27"/>
  <c r="R132" i="27"/>
  <c r="R131" i="27"/>
  <c r="R128" i="27"/>
  <c r="R125" i="27"/>
  <c r="R123" i="27"/>
  <c r="R122" i="27"/>
  <c r="R121" i="27"/>
  <c r="R120" i="27"/>
  <c r="R117" i="27"/>
  <c r="R116" i="27"/>
  <c r="R113" i="27"/>
  <c r="R112" i="27"/>
  <c r="R111" i="27"/>
  <c r="R110" i="27"/>
  <c r="R109" i="27"/>
  <c r="R108" i="27"/>
  <c r="R107" i="27"/>
  <c r="R106" i="27"/>
  <c r="R105" i="27"/>
  <c r="R104" i="27"/>
  <c r="R103" i="27"/>
  <c r="R102" i="27"/>
  <c r="R101" i="27"/>
  <c r="R100" i="27"/>
  <c r="R99" i="27"/>
  <c r="R98" i="27"/>
  <c r="R97" i="27"/>
  <c r="R96" i="27"/>
  <c r="R94" i="27"/>
  <c r="R93" i="27"/>
  <c r="R92" i="27"/>
  <c r="R91" i="27"/>
  <c r="R90" i="27"/>
  <c r="R89" i="27"/>
  <c r="R88" i="27"/>
  <c r="R87" i="27"/>
  <c r="R86" i="27"/>
  <c r="R85" i="27"/>
  <c r="R84" i="27"/>
  <c r="R83" i="27"/>
  <c r="R82" i="27"/>
  <c r="R80" i="27"/>
  <c r="R78" i="27"/>
  <c r="R77" i="27"/>
  <c r="R76" i="27"/>
  <c r="R75" i="27"/>
  <c r="R74" i="27"/>
  <c r="R73" i="27"/>
  <c r="R71" i="27"/>
  <c r="R70" i="27"/>
  <c r="R67" i="27"/>
  <c r="R66" i="27"/>
  <c r="R64" i="27"/>
  <c r="R63" i="27"/>
  <c r="R61" i="27"/>
  <c r="R60" i="27"/>
  <c r="R59" i="27"/>
  <c r="R58" i="27"/>
  <c r="R57" i="27"/>
  <c r="R56" i="27"/>
  <c r="R55" i="27"/>
  <c r="R54" i="27"/>
  <c r="R53" i="27"/>
  <c r="R51" i="27"/>
  <c r="R50" i="27"/>
  <c r="R49" i="27"/>
  <c r="R47" i="27"/>
  <c r="R46" i="27"/>
  <c r="R45" i="27"/>
  <c r="R44" i="27"/>
  <c r="R43" i="27"/>
  <c r="R42" i="27"/>
  <c r="R41" i="27"/>
  <c r="R40" i="27"/>
  <c r="R39" i="27"/>
  <c r="R38" i="27"/>
  <c r="R37" i="27"/>
  <c r="R36" i="27"/>
  <c r="R35" i="27"/>
  <c r="R33" i="27"/>
  <c r="R32" i="27"/>
  <c r="R31" i="27"/>
  <c r="R30" i="27"/>
  <c r="R28" i="27"/>
  <c r="R27" i="27"/>
  <c r="R24" i="27"/>
  <c r="R16" i="27"/>
  <c r="R15" i="27"/>
  <c r="R14" i="27"/>
  <c r="R13" i="27"/>
  <c r="R19" i="27"/>
  <c r="N190" i="27"/>
  <c r="N193" i="27"/>
  <c r="M193" i="27"/>
  <c r="M192" i="27"/>
  <c r="N191" i="27"/>
  <c r="M191" i="27"/>
  <c r="M190" i="27"/>
  <c r="M171" i="27"/>
  <c r="M170" i="27"/>
  <c r="M169" i="27"/>
  <c r="M167" i="27" s="1"/>
  <c r="N168" i="27"/>
  <c r="M168" i="27"/>
  <c r="N166" i="27"/>
  <c r="M166" i="27"/>
  <c r="N165" i="27"/>
  <c r="M165" i="27"/>
  <c r="M161" i="27"/>
  <c r="M160" i="27"/>
  <c r="N159" i="27"/>
  <c r="M159" i="27"/>
  <c r="M157" i="27"/>
  <c r="N156" i="27"/>
  <c r="M156" i="27"/>
  <c r="N154" i="27"/>
  <c r="N153" i="27"/>
  <c r="M150" i="27"/>
  <c r="M149" i="27"/>
  <c r="N148" i="27"/>
  <c r="M148" i="27"/>
  <c r="N146" i="27"/>
  <c r="N145" i="27"/>
  <c r="N144" i="27" s="1"/>
  <c r="M145" i="27"/>
  <c r="M142" i="27"/>
  <c r="N141" i="27"/>
  <c r="M141" i="27"/>
  <c r="M140" i="27"/>
  <c r="N138" i="27"/>
  <c r="M138" i="27"/>
  <c r="M136" i="27"/>
  <c r="M135" i="27"/>
  <c r="M134" i="27"/>
  <c r="N132" i="27"/>
  <c r="N131" i="27"/>
  <c r="N130" i="27" s="1"/>
  <c r="M128" i="27"/>
  <c r="M127" i="27"/>
  <c r="N125" i="27"/>
  <c r="M125" i="27"/>
  <c r="M123" i="27"/>
  <c r="M122" i="27"/>
  <c r="M120" i="27"/>
  <c r="N117" i="27"/>
  <c r="N116" i="27"/>
  <c r="M116" i="27"/>
  <c r="M113" i="27"/>
  <c r="M112" i="27"/>
  <c r="N111" i="27"/>
  <c r="M111" i="27"/>
  <c r="N109" i="27"/>
  <c r="N108" i="27"/>
  <c r="M108" i="27"/>
  <c r="M105" i="27"/>
  <c r="M104" i="27"/>
  <c r="N103" i="27"/>
  <c r="M103" i="27"/>
  <c r="M102" i="27" s="1"/>
  <c r="N101" i="27"/>
  <c r="N100" i="27"/>
  <c r="M97" i="27"/>
  <c r="M96" i="27"/>
  <c r="M94" i="27"/>
  <c r="N92" i="27"/>
  <c r="N91" i="27"/>
  <c r="M88" i="27"/>
  <c r="M87" i="27"/>
  <c r="N86" i="27"/>
  <c r="M84" i="27"/>
  <c r="N83" i="27"/>
  <c r="M83" i="27"/>
  <c r="N82" i="27"/>
  <c r="M82" i="27"/>
  <c r="N80" i="27"/>
  <c r="M80" i="27"/>
  <c r="L80" i="27" s="1"/>
  <c r="K80" i="27" s="1"/>
  <c r="M78" i="27"/>
  <c r="M77" i="27"/>
  <c r="M76" i="27"/>
  <c r="M75" i="27"/>
  <c r="M74" i="27"/>
  <c r="M73" i="27"/>
  <c r="N71" i="27"/>
  <c r="N70" i="27"/>
  <c r="M70" i="27"/>
  <c r="M67" i="27"/>
  <c r="M66" i="27"/>
  <c r="M64" i="27"/>
  <c r="M63" i="27"/>
  <c r="L63" i="27" s="1"/>
  <c r="M61" i="27"/>
  <c r="M60" i="27"/>
  <c r="M59" i="27"/>
  <c r="M58" i="27"/>
  <c r="M57" i="27"/>
  <c r="M56" i="27"/>
  <c r="N54" i="27"/>
  <c r="N53" i="27"/>
  <c r="N51" i="27"/>
  <c r="N50" i="27"/>
  <c r="M50" i="27"/>
  <c r="M47" i="27"/>
  <c r="M46" i="27"/>
  <c r="L46" i="27" s="1"/>
  <c r="N45" i="27"/>
  <c r="M45" i="27"/>
  <c r="N44" i="27"/>
  <c r="M44" i="27"/>
  <c r="M43" i="27" s="1"/>
  <c r="M42" i="27" s="1"/>
  <c r="M41" i="27"/>
  <c r="M40" i="27"/>
  <c r="N39" i="27"/>
  <c r="M39" i="27"/>
  <c r="N38" i="27"/>
  <c r="M38" i="27"/>
  <c r="M35" i="27"/>
  <c r="N33" i="27"/>
  <c r="M33" i="27"/>
  <c r="N32" i="27"/>
  <c r="M32" i="27"/>
  <c r="N31" i="27"/>
  <c r="M31" i="27"/>
  <c r="L31" i="27" s="1"/>
  <c r="N30" i="27"/>
  <c r="N29" i="27" s="1"/>
  <c r="M30" i="27"/>
  <c r="N28" i="27"/>
  <c r="M28" i="27"/>
  <c r="M27" i="27"/>
  <c r="M25" i="27"/>
  <c r="N24" i="27"/>
  <c r="M24" i="27"/>
  <c r="N22" i="27"/>
  <c r="M21" i="27"/>
  <c r="M20" i="27"/>
  <c r="N19" i="27"/>
  <c r="M19" i="27"/>
  <c r="M15" i="27"/>
  <c r="N14" i="27"/>
  <c r="M14" i="27"/>
  <c r="M13" i="27"/>
  <c r="L162" i="27"/>
  <c r="L108" i="27"/>
  <c r="Q29" i="27"/>
  <c r="O29" i="27" s="1"/>
  <c r="T29" i="27"/>
  <c r="S29" i="27"/>
  <c r="S18" i="27"/>
  <c r="AO171" i="27"/>
  <c r="Q96" i="27"/>
  <c r="N96" i="27"/>
  <c r="V144" i="27"/>
  <c r="O25" i="27"/>
  <c r="O24" i="27"/>
  <c r="AG24" i="27" s="1"/>
  <c r="V69" i="27"/>
  <c r="J90" i="21"/>
  <c r="Q127" i="27"/>
  <c r="O127" i="27" s="1"/>
  <c r="P51" i="27"/>
  <c r="Q112" i="27"/>
  <c r="Q110" i="27" s="1"/>
  <c r="Q106" i="27" s="1"/>
  <c r="AQ7" i="27"/>
  <c r="J34" i="21"/>
  <c r="X161" i="27"/>
  <c r="X142" i="27"/>
  <c r="X128" i="27"/>
  <c r="X84" i="27"/>
  <c r="Q84" i="27"/>
  <c r="O84" i="27" s="1"/>
  <c r="X97" i="27"/>
  <c r="X67" i="27"/>
  <c r="X93" i="27"/>
  <c r="X89" i="27" s="1"/>
  <c r="W93" i="27"/>
  <c r="V93" i="27"/>
  <c r="P146" i="27"/>
  <c r="P144" i="27" s="1"/>
  <c r="U192" i="27"/>
  <c r="U191" i="27"/>
  <c r="U190" i="27"/>
  <c r="X167" i="27"/>
  <c r="W167" i="27"/>
  <c r="V167" i="27"/>
  <c r="P167" i="27"/>
  <c r="X164" i="27"/>
  <c r="W164" i="27"/>
  <c r="Q164" i="27"/>
  <c r="P164" i="27"/>
  <c r="P163" i="27" s="1"/>
  <c r="Q152" i="27"/>
  <c r="X152" i="27"/>
  <c r="X151" i="27" s="1"/>
  <c r="W152" i="27"/>
  <c r="W151" i="27" s="1"/>
  <c r="U160" i="27"/>
  <c r="U168" i="27"/>
  <c r="O168" i="27"/>
  <c r="X147" i="27"/>
  <c r="W147" i="27"/>
  <c r="V147" i="27"/>
  <c r="P147" i="27"/>
  <c r="X144" i="27"/>
  <c r="X143" i="27" s="1"/>
  <c r="W144" i="27"/>
  <c r="W143" i="27" s="1"/>
  <c r="Q144" i="27"/>
  <c r="U148" i="27"/>
  <c r="O148" i="27"/>
  <c r="X130" i="27"/>
  <c r="W130" i="27"/>
  <c r="W129" i="27" s="1"/>
  <c r="Q130" i="27"/>
  <c r="O131" i="27"/>
  <c r="W133" i="27"/>
  <c r="P133" i="27"/>
  <c r="X137" i="27"/>
  <c r="W137" i="27"/>
  <c r="U137" i="27" s="1"/>
  <c r="V137" i="27"/>
  <c r="U142" i="27"/>
  <c r="U141" i="27"/>
  <c r="U140" i="27"/>
  <c r="U138" i="27"/>
  <c r="O141" i="27"/>
  <c r="AG141" i="27" s="1"/>
  <c r="O138" i="27"/>
  <c r="O83" i="27"/>
  <c r="AG83" i="27" s="1"/>
  <c r="X124" i="27"/>
  <c r="U119" i="27"/>
  <c r="P121" i="27"/>
  <c r="P118" i="27" s="1"/>
  <c r="U123" i="27"/>
  <c r="Q123" i="27" s="1"/>
  <c r="U122" i="27"/>
  <c r="Q122" i="27" s="1"/>
  <c r="P115" i="27"/>
  <c r="W115" i="27"/>
  <c r="W124" i="27"/>
  <c r="V124" i="27"/>
  <c r="W118" i="27"/>
  <c r="U128" i="27"/>
  <c r="U127" i="27"/>
  <c r="U125" i="27"/>
  <c r="O125" i="27"/>
  <c r="AG125" i="27" s="1"/>
  <c r="W107" i="27"/>
  <c r="Q107" i="27"/>
  <c r="O109" i="27"/>
  <c r="W110" i="27"/>
  <c r="V110" i="27"/>
  <c r="U110" i="27" s="1"/>
  <c r="P110" i="27"/>
  <c r="U113" i="27"/>
  <c r="U112" i="27"/>
  <c r="U111" i="27"/>
  <c r="O111" i="27"/>
  <c r="W102" i="27"/>
  <c r="V102" i="27"/>
  <c r="P102" i="27"/>
  <c r="W99" i="27"/>
  <c r="Q99" i="27"/>
  <c r="U105" i="27"/>
  <c r="U104" i="27"/>
  <c r="U103" i="27"/>
  <c r="O103" i="27"/>
  <c r="AG103" i="27" s="1"/>
  <c r="P92" i="27"/>
  <c r="U96" i="27"/>
  <c r="U94" i="27"/>
  <c r="U97" i="27"/>
  <c r="W90" i="27"/>
  <c r="W89" i="27" s="1"/>
  <c r="Q90" i="27"/>
  <c r="W85" i="27"/>
  <c r="X79" i="27"/>
  <c r="X68" i="27" s="1"/>
  <c r="U74" i="27"/>
  <c r="Q74" i="27" s="1"/>
  <c r="O74" i="27" s="1"/>
  <c r="AG74" i="27" s="1"/>
  <c r="U78" i="27"/>
  <c r="Q78" i="27" s="1"/>
  <c r="N78" i="27" s="1"/>
  <c r="U77" i="27"/>
  <c r="Q77" i="27" s="1"/>
  <c r="U76" i="27"/>
  <c r="Q76" i="27" s="1"/>
  <c r="N76" i="27" s="1"/>
  <c r="U75" i="27"/>
  <c r="Q75" i="27" s="1"/>
  <c r="U73" i="27"/>
  <c r="Q73" i="27" s="1"/>
  <c r="W69" i="27"/>
  <c r="Q69" i="27"/>
  <c r="W72" i="27"/>
  <c r="P72" i="27"/>
  <c r="M71" i="27"/>
  <c r="W79" i="27"/>
  <c r="U79" i="27" s="1"/>
  <c r="V79" i="27"/>
  <c r="O82" i="27"/>
  <c r="AG82" i="27" s="1"/>
  <c r="O80" i="27"/>
  <c r="AG80" i="27" s="1"/>
  <c r="X62" i="27"/>
  <c r="W62" i="27"/>
  <c r="V62" i="27"/>
  <c r="P62" i="27"/>
  <c r="W55" i="27"/>
  <c r="P55" i="27"/>
  <c r="U67" i="27"/>
  <c r="U59" i="27"/>
  <c r="Q59" i="27" s="1"/>
  <c r="U57" i="27"/>
  <c r="Q57" i="27" s="1"/>
  <c r="N57" i="27" s="1"/>
  <c r="U56" i="27"/>
  <c r="Q56" i="27" s="1"/>
  <c r="U47" i="27"/>
  <c r="U41" i="27"/>
  <c r="U40" i="27"/>
  <c r="U66" i="27"/>
  <c r="U64" i="27"/>
  <c r="U60" i="27"/>
  <c r="Q60" i="27" s="1"/>
  <c r="Q52" i="27"/>
  <c r="Q49" i="27"/>
  <c r="P43" i="27"/>
  <c r="P42" i="27" s="1"/>
  <c r="U162" i="27"/>
  <c r="O191" i="27"/>
  <c r="AG191" i="27" s="1"/>
  <c r="O190" i="27"/>
  <c r="AG190" i="27" s="1"/>
  <c r="O166" i="27"/>
  <c r="O165" i="27"/>
  <c r="O162" i="27"/>
  <c r="O156" i="27"/>
  <c r="O145" i="27"/>
  <c r="O108" i="27"/>
  <c r="O70" i="27"/>
  <c r="O63" i="27"/>
  <c r="O45" i="27"/>
  <c r="O44" i="27"/>
  <c r="O39" i="27"/>
  <c r="O38" i="27"/>
  <c r="U156" i="27"/>
  <c r="J126" i="21"/>
  <c r="K121" i="22"/>
  <c r="U170" i="27"/>
  <c r="U169" i="27"/>
  <c r="U166" i="27"/>
  <c r="U161" i="27"/>
  <c r="U150" i="27"/>
  <c r="U149" i="27"/>
  <c r="U146" i="27"/>
  <c r="U136" i="27"/>
  <c r="Q136" i="27" s="1"/>
  <c r="O136" i="27" s="1"/>
  <c r="AG136" i="27" s="1"/>
  <c r="U117" i="27"/>
  <c r="U101" i="27"/>
  <c r="U92" i="27"/>
  <c r="U87" i="27"/>
  <c r="U86" i="27"/>
  <c r="U84" i="27"/>
  <c r="U71" i="27"/>
  <c r="U63" i="27"/>
  <c r="U54" i="27"/>
  <c r="U46" i="27"/>
  <c r="W52" i="27"/>
  <c r="W49" i="27"/>
  <c r="W48" i="27" s="1"/>
  <c r="W43" i="27"/>
  <c r="W42" i="27"/>
  <c r="W37" i="27"/>
  <c r="W36" i="27" s="1"/>
  <c r="U33" i="27"/>
  <c r="U32" i="27"/>
  <c r="U31" i="27"/>
  <c r="U30" i="27"/>
  <c r="U29" i="27"/>
  <c r="U28" i="27"/>
  <c r="U27" i="27"/>
  <c r="U22" i="27"/>
  <c r="U19" i="27"/>
  <c r="U15" i="27"/>
  <c r="U14" i="27"/>
  <c r="O33" i="27"/>
  <c r="O32" i="27"/>
  <c r="AG32" i="27" s="1"/>
  <c r="O31" i="27"/>
  <c r="O30" i="27"/>
  <c r="AG30" i="27" s="1"/>
  <c r="O28" i="27"/>
  <c r="O22" i="27"/>
  <c r="AG22" i="27" s="1"/>
  <c r="O21" i="27"/>
  <c r="O20" i="27"/>
  <c r="AG20" i="27" s="1"/>
  <c r="O19" i="27"/>
  <c r="O14" i="27"/>
  <c r="Q18" i="27"/>
  <c r="O18" i="27" s="1"/>
  <c r="X192" i="27"/>
  <c r="X191" i="27"/>
  <c r="X190" i="27"/>
  <c r="AM187" i="27"/>
  <c r="AM172" i="27"/>
  <c r="AQ171" i="27"/>
  <c r="X171" i="27"/>
  <c r="AM171" i="27" s="1"/>
  <c r="AQ163" i="27"/>
  <c r="AQ162" i="27"/>
  <c r="AQ156" i="27"/>
  <c r="AQ152" i="27"/>
  <c r="AQ151" i="27"/>
  <c r="X150" i="27"/>
  <c r="AQ143" i="27"/>
  <c r="AQ137" i="27"/>
  <c r="AQ136" i="27"/>
  <c r="X136" i="27"/>
  <c r="AQ135" i="27"/>
  <c r="X135" i="27"/>
  <c r="AQ134" i="27"/>
  <c r="X134" i="27"/>
  <c r="AQ130" i="27"/>
  <c r="AQ129" i="27"/>
  <c r="AQ128" i="27"/>
  <c r="AQ123" i="27"/>
  <c r="X123" i="27"/>
  <c r="AQ122" i="27"/>
  <c r="X122" i="27"/>
  <c r="AQ121" i="27"/>
  <c r="X121" i="27"/>
  <c r="AQ120" i="27"/>
  <c r="AP120" i="27"/>
  <c r="X120" i="27"/>
  <c r="AQ119" i="27"/>
  <c r="X119" i="27"/>
  <c r="AQ115" i="27"/>
  <c r="X115" i="27"/>
  <c r="AQ114" i="27"/>
  <c r="AQ110" i="27"/>
  <c r="X110" i="27"/>
  <c r="AQ107" i="27"/>
  <c r="AQ102" i="27"/>
  <c r="AQ99" i="27"/>
  <c r="AQ98" i="27"/>
  <c r="X98" i="27"/>
  <c r="AQ93" i="27"/>
  <c r="AQ89" i="27"/>
  <c r="X85" i="27"/>
  <c r="AQ79" i="27"/>
  <c r="AS68" i="27"/>
  <c r="X52" i="27"/>
  <c r="X49" i="27"/>
  <c r="X42" i="27"/>
  <c r="X39" i="27"/>
  <c r="X36" i="27"/>
  <c r="X33" i="27"/>
  <c r="AM33" i="27" s="1"/>
  <c r="AN33" i="27" s="1"/>
  <c r="X32" i="27"/>
  <c r="X31" i="27"/>
  <c r="AM31" i="27" s="1"/>
  <c r="X30" i="27"/>
  <c r="AM30" i="27" s="1"/>
  <c r="X29" i="27"/>
  <c r="AM29" i="27" s="1"/>
  <c r="X28" i="27"/>
  <c r="AM28" i="27" s="1"/>
  <c r="X27" i="27"/>
  <c r="AM27" i="27" s="1"/>
  <c r="X22" i="27"/>
  <c r="X21" i="27"/>
  <c r="X20" i="27"/>
  <c r="AM20" i="27" s="1"/>
  <c r="X19" i="27"/>
  <c r="AM16" i="27"/>
  <c r="AM14" i="27"/>
  <c r="X13" i="27"/>
  <c r="AP9" i="27"/>
  <c r="J54" i="21"/>
  <c r="J161" i="21"/>
  <c r="J161" i="22" s="1"/>
  <c r="J150" i="21"/>
  <c r="J150" i="22" s="1"/>
  <c r="J42" i="21"/>
  <c r="J33" i="21"/>
  <c r="J13" i="21"/>
  <c r="L34" i="21"/>
  <c r="L149" i="21"/>
  <c r="L114" i="21"/>
  <c r="L10" i="21" s="1"/>
  <c r="L90" i="21"/>
  <c r="L90" i="22" s="1"/>
  <c r="L53" i="21"/>
  <c r="L41" i="21"/>
  <c r="L12" i="21"/>
  <c r="J125" i="21"/>
  <c r="J115" i="21"/>
  <c r="J114" i="21" s="1"/>
  <c r="J114" i="22" s="1"/>
  <c r="J129" i="21"/>
  <c r="J139" i="21"/>
  <c r="J48" i="21"/>
  <c r="J48" i="22" s="1"/>
  <c r="R148" i="21"/>
  <c r="J31" i="21"/>
  <c r="J26" i="21"/>
  <c r="I26" i="21" s="1"/>
  <c r="L53" i="22"/>
  <c r="M25" i="21"/>
  <c r="L177" i="22"/>
  <c r="K177" i="22"/>
  <c r="J177" i="22"/>
  <c r="L176" i="22"/>
  <c r="K176" i="22"/>
  <c r="J176" i="22"/>
  <c r="L175" i="22"/>
  <c r="K175" i="22"/>
  <c r="J175" i="22"/>
  <c r="L174" i="22"/>
  <c r="J174" i="22"/>
  <c r="L173" i="22"/>
  <c r="K173" i="22"/>
  <c r="J173" i="22"/>
  <c r="L172" i="22"/>
  <c r="K172" i="22"/>
  <c r="J172" i="22"/>
  <c r="L171" i="22"/>
  <c r="K171" i="22"/>
  <c r="J171" i="22"/>
  <c r="L170" i="22"/>
  <c r="K170" i="22"/>
  <c r="J170" i="22"/>
  <c r="L169" i="22"/>
  <c r="K169" i="22"/>
  <c r="J169" i="22"/>
  <c r="L168" i="22"/>
  <c r="K168" i="22"/>
  <c r="J168" i="22"/>
  <c r="L167" i="22"/>
  <c r="K167" i="22"/>
  <c r="J167" i="22"/>
  <c r="L166" i="22"/>
  <c r="K166" i="22"/>
  <c r="J166" i="22"/>
  <c r="L165" i="22"/>
  <c r="K165" i="22"/>
  <c r="J165" i="22"/>
  <c r="L164" i="22"/>
  <c r="K164" i="22"/>
  <c r="J164" i="22"/>
  <c r="L163" i="22"/>
  <c r="K163" i="22"/>
  <c r="J163" i="22"/>
  <c r="L162" i="22"/>
  <c r="K162" i="22"/>
  <c r="J162" i="22"/>
  <c r="L161" i="22"/>
  <c r="L160" i="22"/>
  <c r="K160" i="22"/>
  <c r="J160" i="22"/>
  <c r="L159" i="22"/>
  <c r="K159" i="22"/>
  <c r="J159" i="22"/>
  <c r="L158" i="22"/>
  <c r="L157" i="22"/>
  <c r="L156" i="22"/>
  <c r="K156" i="22"/>
  <c r="J156" i="22"/>
  <c r="L155" i="22"/>
  <c r="K155" i="22"/>
  <c r="J155" i="22"/>
  <c r="L154" i="22"/>
  <c r="K154" i="22"/>
  <c r="J154" i="22"/>
  <c r="L153" i="22"/>
  <c r="K153" i="22"/>
  <c r="J153" i="22"/>
  <c r="L152" i="22"/>
  <c r="K152" i="22"/>
  <c r="J152" i="22"/>
  <c r="L151" i="22"/>
  <c r="K151" i="22"/>
  <c r="J151" i="22"/>
  <c r="L150" i="22"/>
  <c r="L148" i="22"/>
  <c r="L147" i="22"/>
  <c r="J147" i="22"/>
  <c r="L146" i="22"/>
  <c r="K146" i="22"/>
  <c r="J146" i="22"/>
  <c r="L145" i="22"/>
  <c r="K145" i="22"/>
  <c r="J145" i="22"/>
  <c r="L144" i="22"/>
  <c r="K144" i="22"/>
  <c r="J144" i="22"/>
  <c r="L143" i="22"/>
  <c r="K143" i="22"/>
  <c r="J143" i="22"/>
  <c r="L142" i="22"/>
  <c r="K142" i="22"/>
  <c r="J142" i="22"/>
  <c r="L141" i="22"/>
  <c r="K141" i="22"/>
  <c r="J141" i="22"/>
  <c r="L140" i="22"/>
  <c r="K140" i="22"/>
  <c r="J140" i="22"/>
  <c r="L139" i="22"/>
  <c r="J139" i="22"/>
  <c r="L137" i="22"/>
  <c r="J137" i="22"/>
  <c r="L136" i="22"/>
  <c r="K136" i="22"/>
  <c r="J136" i="22"/>
  <c r="L135" i="22"/>
  <c r="K135" i="22"/>
  <c r="J135" i="22"/>
  <c r="L134" i="22"/>
  <c r="K134" i="22"/>
  <c r="J134" i="22"/>
  <c r="L133" i="22"/>
  <c r="K133" i="22"/>
  <c r="J133" i="22"/>
  <c r="L132" i="22"/>
  <c r="K132" i="22"/>
  <c r="J132" i="22"/>
  <c r="L131" i="22"/>
  <c r="K131" i="22"/>
  <c r="J131" i="22"/>
  <c r="L130" i="22"/>
  <c r="K130" i="22"/>
  <c r="J130" i="22"/>
  <c r="L129" i="22"/>
  <c r="L127" i="22"/>
  <c r="J127" i="22"/>
  <c r="L126" i="22"/>
  <c r="L125" i="22"/>
  <c r="J125" i="22"/>
  <c r="L124" i="22"/>
  <c r="K124" i="22"/>
  <c r="J124" i="22"/>
  <c r="L123" i="22"/>
  <c r="K123" i="22"/>
  <c r="J123" i="22"/>
  <c r="L122" i="22"/>
  <c r="K122" i="22"/>
  <c r="J122" i="22"/>
  <c r="L121" i="22"/>
  <c r="L120" i="22"/>
  <c r="J120" i="22"/>
  <c r="L119" i="22"/>
  <c r="K119" i="22"/>
  <c r="J119" i="22"/>
  <c r="L118" i="22"/>
  <c r="K118" i="22"/>
  <c r="J118" i="22"/>
  <c r="L117" i="22"/>
  <c r="K117" i="22"/>
  <c r="J117" i="22"/>
  <c r="L116" i="22"/>
  <c r="K116" i="22"/>
  <c r="J116" i="22"/>
  <c r="L115" i="22"/>
  <c r="L113" i="22"/>
  <c r="K113" i="22"/>
  <c r="J113" i="22"/>
  <c r="L112" i="22"/>
  <c r="K112" i="22"/>
  <c r="J112" i="22"/>
  <c r="L111" i="22"/>
  <c r="K111" i="22"/>
  <c r="J111" i="22"/>
  <c r="L110" i="22"/>
  <c r="K110" i="22"/>
  <c r="J110" i="22"/>
  <c r="L109" i="22"/>
  <c r="K109" i="22"/>
  <c r="J109" i="22"/>
  <c r="L108" i="22"/>
  <c r="K108" i="22"/>
  <c r="J108" i="22"/>
  <c r="L107" i="22"/>
  <c r="J107" i="22"/>
  <c r="L106" i="22"/>
  <c r="K106" i="22"/>
  <c r="J106" i="22"/>
  <c r="L105" i="22"/>
  <c r="K105" i="22"/>
  <c r="J105" i="22"/>
  <c r="L104" i="22"/>
  <c r="K104" i="22"/>
  <c r="J104" i="22"/>
  <c r="L103" i="22"/>
  <c r="K103" i="22"/>
  <c r="J103" i="22"/>
  <c r="L102" i="22"/>
  <c r="K102" i="22"/>
  <c r="J102" i="22"/>
  <c r="L101" i="22"/>
  <c r="K101" i="22"/>
  <c r="J101" i="22"/>
  <c r="L100" i="22"/>
  <c r="J100" i="22"/>
  <c r="L99" i="22"/>
  <c r="K99" i="22"/>
  <c r="J99" i="22"/>
  <c r="L98" i="22"/>
  <c r="K98" i="22"/>
  <c r="J98" i="22"/>
  <c r="L97" i="22"/>
  <c r="K97" i="22"/>
  <c r="J97" i="22"/>
  <c r="L96" i="22"/>
  <c r="K96" i="22"/>
  <c r="J96" i="22"/>
  <c r="L95" i="22"/>
  <c r="K95" i="22"/>
  <c r="J95" i="22"/>
  <c r="L94" i="22"/>
  <c r="K94" i="22"/>
  <c r="J94" i="22"/>
  <c r="L93" i="22"/>
  <c r="K93" i="22"/>
  <c r="J93" i="22"/>
  <c r="L92" i="22"/>
  <c r="K92" i="22"/>
  <c r="J92" i="22"/>
  <c r="L91" i="22"/>
  <c r="K91" i="22"/>
  <c r="J91" i="22"/>
  <c r="J90" i="22"/>
  <c r="L89" i="22"/>
  <c r="K89" i="22"/>
  <c r="J89" i="22"/>
  <c r="L88" i="22"/>
  <c r="K88" i="22"/>
  <c r="J88" i="22"/>
  <c r="L87" i="22"/>
  <c r="K87" i="22"/>
  <c r="J87" i="22"/>
  <c r="L86" i="22"/>
  <c r="K86" i="22"/>
  <c r="J86" i="22"/>
  <c r="L85" i="22"/>
  <c r="K85" i="22"/>
  <c r="J85" i="22"/>
  <c r="L84" i="22"/>
  <c r="K84" i="22"/>
  <c r="J84" i="22"/>
  <c r="L83" i="22"/>
  <c r="K83" i="22"/>
  <c r="J83" i="22"/>
  <c r="L82" i="22"/>
  <c r="K82" i="22"/>
  <c r="J82" i="22"/>
  <c r="L81" i="22"/>
  <c r="K81" i="22"/>
  <c r="J81" i="22"/>
  <c r="L80" i="22"/>
  <c r="K80" i="22"/>
  <c r="J80" i="22"/>
  <c r="L79" i="22"/>
  <c r="K79" i="22"/>
  <c r="J79" i="22"/>
  <c r="L78" i="22"/>
  <c r="K78" i="22"/>
  <c r="J78" i="22"/>
  <c r="L77" i="22"/>
  <c r="K77" i="22"/>
  <c r="J77" i="22"/>
  <c r="L76" i="22"/>
  <c r="K76" i="22"/>
  <c r="J76" i="22"/>
  <c r="L75" i="22"/>
  <c r="K75" i="22"/>
  <c r="J75" i="22"/>
  <c r="L74" i="22"/>
  <c r="K74" i="22"/>
  <c r="J74" i="22"/>
  <c r="L73" i="22"/>
  <c r="K73" i="22"/>
  <c r="J73" i="22"/>
  <c r="L72" i="22"/>
  <c r="K72" i="22"/>
  <c r="J72" i="22"/>
  <c r="L71" i="22"/>
  <c r="K71" i="22"/>
  <c r="J71" i="22"/>
  <c r="L70" i="22"/>
  <c r="K70" i="22"/>
  <c r="J70" i="22"/>
  <c r="L69" i="22"/>
  <c r="K69" i="22"/>
  <c r="J69" i="22"/>
  <c r="L68" i="22"/>
  <c r="K68" i="22"/>
  <c r="J68" i="22"/>
  <c r="L67" i="22"/>
  <c r="K67" i="22"/>
  <c r="J67" i="22"/>
  <c r="L66" i="22"/>
  <c r="K66" i="22"/>
  <c r="J66" i="22"/>
  <c r="L65" i="22"/>
  <c r="K65" i="22"/>
  <c r="J65" i="22"/>
  <c r="L64" i="22"/>
  <c r="K64" i="22"/>
  <c r="J64" i="22"/>
  <c r="L63" i="22"/>
  <c r="K63" i="22"/>
  <c r="J63" i="22"/>
  <c r="L62" i="22"/>
  <c r="K62" i="22"/>
  <c r="J62" i="22"/>
  <c r="L61" i="22"/>
  <c r="K61" i="22"/>
  <c r="J61" i="22"/>
  <c r="L60" i="22"/>
  <c r="K60" i="22"/>
  <c r="J60" i="22"/>
  <c r="L59" i="22"/>
  <c r="K59" i="22"/>
  <c r="J59" i="22"/>
  <c r="L58" i="22"/>
  <c r="K58" i="22"/>
  <c r="J58" i="22"/>
  <c r="L57" i="22"/>
  <c r="K57" i="22"/>
  <c r="J57" i="22"/>
  <c r="L56" i="22"/>
  <c r="K56" i="22"/>
  <c r="J56" i="22"/>
  <c r="L55" i="22"/>
  <c r="K55" i="22"/>
  <c r="J55" i="22"/>
  <c r="L54" i="22"/>
  <c r="J54" i="22"/>
  <c r="L52" i="22"/>
  <c r="K52" i="22"/>
  <c r="J52" i="22"/>
  <c r="K51" i="22"/>
  <c r="J51" i="22"/>
  <c r="K50" i="22"/>
  <c r="J50" i="22"/>
  <c r="K49" i="22"/>
  <c r="J49" i="22"/>
  <c r="K47" i="22"/>
  <c r="J47" i="22"/>
  <c r="K46" i="22"/>
  <c r="J46" i="22"/>
  <c r="K45" i="22"/>
  <c r="J45" i="22"/>
  <c r="K44" i="22"/>
  <c r="J44" i="22"/>
  <c r="K43" i="22"/>
  <c r="J43" i="22"/>
  <c r="L42" i="22"/>
  <c r="L40" i="22"/>
  <c r="K40" i="22"/>
  <c r="J40" i="22"/>
  <c r="K39" i="22"/>
  <c r="J39" i="22"/>
  <c r="K38" i="22"/>
  <c r="J38" i="22"/>
  <c r="K37" i="22"/>
  <c r="J37" i="22"/>
  <c r="K36" i="22"/>
  <c r="J36" i="22"/>
  <c r="K35" i="22"/>
  <c r="J35" i="22"/>
  <c r="J34" i="22"/>
  <c r="K33" i="22"/>
  <c r="J33" i="22"/>
  <c r="K32" i="22"/>
  <c r="J32" i="22"/>
  <c r="K31" i="22"/>
  <c r="K30" i="22"/>
  <c r="J30" i="22"/>
  <c r="K29" i="22"/>
  <c r="J29" i="22"/>
  <c r="K28" i="22"/>
  <c r="J28" i="22"/>
  <c r="K27" i="22"/>
  <c r="J27" i="22"/>
  <c r="K25" i="22"/>
  <c r="J25" i="22"/>
  <c r="I25" i="22"/>
  <c r="K24" i="22"/>
  <c r="J24" i="22"/>
  <c r="K23" i="22"/>
  <c r="J23" i="22"/>
  <c r="K22" i="22"/>
  <c r="J22" i="22"/>
  <c r="K21" i="22"/>
  <c r="J21" i="22"/>
  <c r="K20" i="22"/>
  <c r="J20" i="22"/>
  <c r="K19" i="22"/>
  <c r="J19" i="22"/>
  <c r="K18" i="22"/>
  <c r="J18" i="22"/>
  <c r="K17" i="22"/>
  <c r="J17" i="22"/>
  <c r="K16" i="22"/>
  <c r="J16" i="22"/>
  <c r="K15" i="22"/>
  <c r="J15" i="22"/>
  <c r="K14" i="22"/>
  <c r="J14" i="22"/>
  <c r="K178" i="22"/>
  <c r="J178" i="22"/>
  <c r="H176" i="22"/>
  <c r="H174" i="22" s="1"/>
  <c r="H156" i="22"/>
  <c r="H155" i="22"/>
  <c r="H154" i="22"/>
  <c r="H153" i="22"/>
  <c r="H146" i="22"/>
  <c r="H144" i="22" s="1"/>
  <c r="H143" i="22"/>
  <c r="H142" i="22"/>
  <c r="H141" i="22"/>
  <c r="H140" i="22"/>
  <c r="H136" i="22"/>
  <c r="H134" i="22" s="1"/>
  <c r="H133" i="22"/>
  <c r="H132" i="22"/>
  <c r="H131" i="22"/>
  <c r="H130" i="22"/>
  <c r="H120" i="22"/>
  <c r="H119" i="22"/>
  <c r="H118" i="22"/>
  <c r="H117" i="22"/>
  <c r="H116" i="22"/>
  <c r="H113" i="22"/>
  <c r="H112" i="22"/>
  <c r="H111" i="22"/>
  <c r="H110" i="22"/>
  <c r="H109" i="22"/>
  <c r="H106" i="22"/>
  <c r="H105" i="22"/>
  <c r="H104" i="22"/>
  <c r="H103" i="22"/>
  <c r="H102" i="22"/>
  <c r="IV100" i="22"/>
  <c r="H96" i="22"/>
  <c r="H95" i="22"/>
  <c r="H94" i="22"/>
  <c r="H93" i="22"/>
  <c r="H92" i="22"/>
  <c r="H70" i="22"/>
  <c r="H69" i="22"/>
  <c r="H68" i="22" s="1"/>
  <c r="H67" i="22"/>
  <c r="H66" i="22"/>
  <c r="H65" i="22"/>
  <c r="H60" i="22"/>
  <c r="H59" i="22"/>
  <c r="H58" i="22"/>
  <c r="H57" i="22"/>
  <c r="H56" i="22"/>
  <c r="H46" i="22"/>
  <c r="H45" i="22"/>
  <c r="H44" i="22"/>
  <c r="H43" i="22"/>
  <c r="H39" i="22"/>
  <c r="H38" i="22"/>
  <c r="H37" i="22"/>
  <c r="H36" i="22"/>
  <c r="IV35" i="22"/>
  <c r="H33" i="22"/>
  <c r="M17" i="22"/>
  <c r="H17" i="22"/>
  <c r="M16" i="22"/>
  <c r="H16" i="22"/>
  <c r="M15" i="22"/>
  <c r="H15" i="22"/>
  <c r="M14" i="22"/>
  <c r="H14" i="22"/>
  <c r="IV12" i="22"/>
  <c r="H11" i="22"/>
  <c r="B9" i="22"/>
  <c r="C9" i="22" s="1"/>
  <c r="D9" i="22" s="1"/>
  <c r="E9" i="22" s="1"/>
  <c r="A3" i="22"/>
  <c r="I147" i="21"/>
  <c r="I147" i="22" s="1"/>
  <c r="J53" i="20"/>
  <c r="J128" i="20"/>
  <c r="I128" i="20"/>
  <c r="L25" i="21"/>
  <c r="L25" i="22" s="1"/>
  <c r="H70" i="21"/>
  <c r="H11" i="21"/>
  <c r="K178" i="21"/>
  <c r="J178" i="21"/>
  <c r="I177" i="21"/>
  <c r="I176" i="21"/>
  <c r="I176" i="22" s="1"/>
  <c r="H176" i="21"/>
  <c r="I175" i="21"/>
  <c r="M175" i="21" s="1"/>
  <c r="H174" i="21"/>
  <c r="I173" i="21"/>
  <c r="I173" i="22" s="1"/>
  <c r="I172" i="21"/>
  <c r="I171" i="21"/>
  <c r="I171" i="22" s="1"/>
  <c r="I170" i="21"/>
  <c r="I169" i="21"/>
  <c r="I169" i="22" s="1"/>
  <c r="I168" i="21"/>
  <c r="I167" i="21"/>
  <c r="I167" i="22" s="1"/>
  <c r="I166" i="21"/>
  <c r="I165" i="21"/>
  <c r="I165" i="22" s="1"/>
  <c r="I164" i="21"/>
  <c r="I163" i="21"/>
  <c r="I163" i="22" s="1"/>
  <c r="I162" i="21"/>
  <c r="I160" i="21"/>
  <c r="I160" i="22" s="1"/>
  <c r="I159" i="21"/>
  <c r="I159" i="22" s="1"/>
  <c r="I156" i="21"/>
  <c r="I156" i="22" s="1"/>
  <c r="H156" i="21"/>
  <c r="I155" i="21"/>
  <c r="I155" i="22" s="1"/>
  <c r="H155" i="21"/>
  <c r="I154" i="21"/>
  <c r="I154" i="22" s="1"/>
  <c r="H154" i="21"/>
  <c r="I153" i="21"/>
  <c r="I153" i="22" s="1"/>
  <c r="H153" i="21"/>
  <c r="I152" i="21"/>
  <c r="I152" i="22" s="1"/>
  <c r="I151" i="21"/>
  <c r="I151" i="22" s="1"/>
  <c r="I146" i="21"/>
  <c r="I146" i="22" s="1"/>
  <c r="H146" i="21"/>
  <c r="H144" i="21" s="1"/>
  <c r="I145" i="21"/>
  <c r="I145" i="22" s="1"/>
  <c r="I144" i="21"/>
  <c r="I144" i="22" s="1"/>
  <c r="I143" i="21"/>
  <c r="I143" i="22" s="1"/>
  <c r="H143" i="21"/>
  <c r="I142" i="21"/>
  <c r="I142" i="22" s="1"/>
  <c r="H142" i="21"/>
  <c r="I141" i="21"/>
  <c r="I141" i="22" s="1"/>
  <c r="H141" i="21"/>
  <c r="I140" i="21"/>
  <c r="I140" i="22" s="1"/>
  <c r="H140" i="21"/>
  <c r="H139" i="21" s="1"/>
  <c r="H138" i="21" s="1"/>
  <c r="J138" i="21"/>
  <c r="J138" i="22" s="1"/>
  <c r="I136" i="21"/>
  <c r="I136" i="22" s="1"/>
  <c r="H136" i="21"/>
  <c r="H134" i="21" s="1"/>
  <c r="I135" i="21"/>
  <c r="I135" i="22" s="1"/>
  <c r="I134" i="21"/>
  <c r="I134" i="22" s="1"/>
  <c r="I133" i="21"/>
  <c r="I133" i="22" s="1"/>
  <c r="H133" i="21"/>
  <c r="I132" i="21"/>
  <c r="I132" i="22" s="1"/>
  <c r="H132" i="21"/>
  <c r="I131" i="21"/>
  <c r="I131" i="22" s="1"/>
  <c r="H131" i="21"/>
  <c r="I130" i="21"/>
  <c r="I130" i="22" s="1"/>
  <c r="H130" i="21"/>
  <c r="H129" i="21" s="1"/>
  <c r="I124" i="21"/>
  <c r="I124" i="22" s="1"/>
  <c r="I123" i="21"/>
  <c r="I123" i="22" s="1"/>
  <c r="I122" i="21"/>
  <c r="I122" i="22" s="1"/>
  <c r="H120" i="21"/>
  <c r="AP119" i="27" s="1"/>
  <c r="I119" i="21"/>
  <c r="I119" i="22" s="1"/>
  <c r="H119" i="21"/>
  <c r="I118" i="21"/>
  <c r="I118" i="22" s="1"/>
  <c r="H118" i="21"/>
  <c r="I117" i="21"/>
  <c r="I117" i="22" s="1"/>
  <c r="H117" i="21"/>
  <c r="I116" i="21"/>
  <c r="I116" i="22" s="1"/>
  <c r="H116" i="21"/>
  <c r="H115" i="21" s="1"/>
  <c r="I113" i="21"/>
  <c r="I113" i="22" s="1"/>
  <c r="H113" i="21"/>
  <c r="I112" i="21"/>
  <c r="I112" i="22" s="1"/>
  <c r="H112" i="21"/>
  <c r="I111" i="21"/>
  <c r="I111" i="22" s="1"/>
  <c r="H111" i="21"/>
  <c r="M111" i="21" s="1"/>
  <c r="I110" i="21"/>
  <c r="I110" i="22" s="1"/>
  <c r="H110" i="21"/>
  <c r="I109" i="21"/>
  <c r="I109" i="22" s="1"/>
  <c r="H109" i="21"/>
  <c r="I108" i="21"/>
  <c r="I108" i="22" s="1"/>
  <c r="H108" i="21"/>
  <c r="I106" i="21"/>
  <c r="I106" i="22" s="1"/>
  <c r="H106" i="21"/>
  <c r="I105" i="21"/>
  <c r="I105" i="22" s="1"/>
  <c r="H105" i="21"/>
  <c r="I104" i="21"/>
  <c r="I104" i="22" s="1"/>
  <c r="H104" i="21"/>
  <c r="M104" i="21" s="1"/>
  <c r="I103" i="21"/>
  <c r="I103" i="22" s="1"/>
  <c r="H103" i="21"/>
  <c r="I102" i="21"/>
  <c r="I102" i="22" s="1"/>
  <c r="H102" i="21"/>
  <c r="H101" i="21" s="1"/>
  <c r="I101" i="21"/>
  <c r="I101" i="22" s="1"/>
  <c r="IV100" i="21"/>
  <c r="I99" i="21"/>
  <c r="I99" i="22" s="1"/>
  <c r="I98" i="21"/>
  <c r="I98" i="22" s="1"/>
  <c r="I97" i="21"/>
  <c r="I96" i="21"/>
  <c r="I96" i="22" s="1"/>
  <c r="H96" i="21"/>
  <c r="I95" i="21"/>
  <c r="I95" i="22" s="1"/>
  <c r="H95" i="21"/>
  <c r="M95" i="21" s="1"/>
  <c r="I94" i="21"/>
  <c r="I94" i="22" s="1"/>
  <c r="H94" i="21"/>
  <c r="M94" i="21" s="1"/>
  <c r="I93" i="21"/>
  <c r="I93" i="22" s="1"/>
  <c r="H93" i="21"/>
  <c r="I92" i="21"/>
  <c r="I92" i="22" s="1"/>
  <c r="H92" i="21"/>
  <c r="I91" i="21"/>
  <c r="I91" i="22" s="1"/>
  <c r="I89" i="21"/>
  <c r="I89" i="22" s="1"/>
  <c r="I88" i="21"/>
  <c r="I88" i="22" s="1"/>
  <c r="I87" i="21"/>
  <c r="I87" i="22" s="1"/>
  <c r="I86" i="21"/>
  <c r="I86" i="22" s="1"/>
  <c r="I85" i="21"/>
  <c r="I85" i="22" s="1"/>
  <c r="I84" i="21"/>
  <c r="I84" i="22" s="1"/>
  <c r="I83" i="21"/>
  <c r="I83" i="22" s="1"/>
  <c r="I82" i="21"/>
  <c r="I82" i="22" s="1"/>
  <c r="I81" i="21"/>
  <c r="I81" i="22" s="1"/>
  <c r="I80" i="21"/>
  <c r="I80" i="22" s="1"/>
  <c r="I79" i="21"/>
  <c r="I79" i="22" s="1"/>
  <c r="I78" i="21"/>
  <c r="I78" i="22" s="1"/>
  <c r="I77" i="21"/>
  <c r="I77" i="22" s="1"/>
  <c r="I76" i="21"/>
  <c r="I76" i="22" s="1"/>
  <c r="I75" i="21"/>
  <c r="I75" i="22" s="1"/>
  <c r="I74" i="21"/>
  <c r="I74" i="22" s="1"/>
  <c r="I73" i="21"/>
  <c r="I73" i="22" s="1"/>
  <c r="I72" i="21"/>
  <c r="I72" i="22" s="1"/>
  <c r="I71" i="21"/>
  <c r="I71" i="22" s="1"/>
  <c r="I70" i="21"/>
  <c r="I70" i="22" s="1"/>
  <c r="I69" i="21"/>
  <c r="I69" i="22" s="1"/>
  <c r="H69" i="21"/>
  <c r="H68" i="21" s="1"/>
  <c r="I68" i="21"/>
  <c r="I68" i="22" s="1"/>
  <c r="I67" i="21"/>
  <c r="I67" i="22" s="1"/>
  <c r="H67" i="21"/>
  <c r="I66" i="21"/>
  <c r="I66" i="22" s="1"/>
  <c r="H66" i="21"/>
  <c r="I65" i="21"/>
  <c r="I65" i="22" s="1"/>
  <c r="H65" i="21"/>
  <c r="I64" i="21"/>
  <c r="I64" i="22" s="1"/>
  <c r="I63" i="21"/>
  <c r="I63" i="22" s="1"/>
  <c r="I62" i="21"/>
  <c r="I62" i="22" s="1"/>
  <c r="I61" i="21"/>
  <c r="I61" i="22" s="1"/>
  <c r="I60" i="21"/>
  <c r="I60" i="22" s="1"/>
  <c r="H60" i="21"/>
  <c r="I59" i="21"/>
  <c r="I59" i="22" s="1"/>
  <c r="H59" i="21"/>
  <c r="I58" i="21"/>
  <c r="I58" i="22" s="1"/>
  <c r="H58" i="21"/>
  <c r="I57" i="21"/>
  <c r="I57" i="22" s="1"/>
  <c r="H57" i="21"/>
  <c r="I56" i="21"/>
  <c r="I56" i="22" s="1"/>
  <c r="H56" i="21"/>
  <c r="I55" i="21"/>
  <c r="I55" i="22" s="1"/>
  <c r="I52" i="21"/>
  <c r="M52" i="21" s="1"/>
  <c r="I51" i="21"/>
  <c r="I50" i="21"/>
  <c r="M50" i="21" s="1"/>
  <c r="I49" i="21"/>
  <c r="I47" i="21"/>
  <c r="M47" i="21" s="1"/>
  <c r="I46" i="21"/>
  <c r="H46" i="21"/>
  <c r="I45" i="21"/>
  <c r="I45" i="22" s="1"/>
  <c r="H45" i="21"/>
  <c r="I44" i="21"/>
  <c r="I44" i="22" s="1"/>
  <c r="H44" i="21"/>
  <c r="I43" i="21"/>
  <c r="H43" i="21"/>
  <c r="I40" i="21"/>
  <c r="I40" i="22" s="1"/>
  <c r="I39" i="21"/>
  <c r="H39" i="21"/>
  <c r="I38" i="21"/>
  <c r="I38" i="22" s="1"/>
  <c r="H38" i="21"/>
  <c r="I37" i="21"/>
  <c r="I37" i="22" s="1"/>
  <c r="H37" i="21"/>
  <c r="I36" i="21"/>
  <c r="I36" i="22" s="1"/>
  <c r="H36" i="21"/>
  <c r="IV35" i="21"/>
  <c r="I35" i="21"/>
  <c r="I35" i="22" s="1"/>
  <c r="I33" i="21"/>
  <c r="I33" i="22" s="1"/>
  <c r="H33" i="21"/>
  <c r="I32" i="21"/>
  <c r="I31" i="21"/>
  <c r="I30" i="21"/>
  <c r="I29" i="21"/>
  <c r="I29" i="22" s="1"/>
  <c r="I28" i="21"/>
  <c r="M28" i="21" s="1"/>
  <c r="I27" i="21"/>
  <c r="M27" i="21" s="1"/>
  <c r="I24" i="21"/>
  <c r="I24" i="22" s="1"/>
  <c r="I23" i="21"/>
  <c r="I23" i="22" s="1"/>
  <c r="I22" i="21"/>
  <c r="M22" i="21" s="1"/>
  <c r="I21" i="21"/>
  <c r="L21" i="21" s="1"/>
  <c r="L21" i="22" s="1"/>
  <c r="I20" i="21"/>
  <c r="I19" i="21"/>
  <c r="I19" i="22" s="1"/>
  <c r="I18" i="21"/>
  <c r="I18" i="22" s="1"/>
  <c r="I17" i="21"/>
  <c r="I17" i="22" s="1"/>
  <c r="L17" i="22"/>
  <c r="H17" i="21"/>
  <c r="I16" i="21"/>
  <c r="I16" i="22" s="1"/>
  <c r="H16" i="21"/>
  <c r="I15" i="21"/>
  <c r="I15" i="22"/>
  <c r="H15" i="21"/>
  <c r="L15" i="22"/>
  <c r="I14" i="21"/>
  <c r="I14" i="22"/>
  <c r="H14" i="21"/>
  <c r="H13" i="21"/>
  <c r="H29" i="21" s="1"/>
  <c r="IV12" i="21"/>
  <c r="B9" i="21"/>
  <c r="C9" i="21" s="1"/>
  <c r="D9" i="21" s="1"/>
  <c r="E9" i="21" s="1"/>
  <c r="A3" i="21"/>
  <c r="I126" i="20"/>
  <c r="K119" i="20"/>
  <c r="K113" i="20" s="1"/>
  <c r="K52" i="20"/>
  <c r="I88" i="20"/>
  <c r="I136" i="20"/>
  <c r="J127" i="20"/>
  <c r="I127" i="20" s="1"/>
  <c r="K127" i="20"/>
  <c r="I146" i="20"/>
  <c r="I143" i="20"/>
  <c r="K137" i="20"/>
  <c r="J137" i="20"/>
  <c r="J148" i="20"/>
  <c r="J114" i="20"/>
  <c r="I114" i="20" s="1"/>
  <c r="K40" i="20"/>
  <c r="K30" i="20"/>
  <c r="I30" i="20" s="1"/>
  <c r="K25" i="20"/>
  <c r="I25" i="20"/>
  <c r="J13" i="20"/>
  <c r="J12" i="20" s="1"/>
  <c r="J40" i="20"/>
  <c r="K148" i="20"/>
  <c r="I148" i="20" s="1"/>
  <c r="I176" i="20"/>
  <c r="I175" i="20"/>
  <c r="I174" i="20"/>
  <c r="I173" i="20"/>
  <c r="I172" i="20"/>
  <c r="I171" i="20"/>
  <c r="I170" i="20"/>
  <c r="I169" i="20"/>
  <c r="I168" i="20"/>
  <c r="I167" i="20"/>
  <c r="I166" i="20"/>
  <c r="I165" i="20"/>
  <c r="I164" i="20"/>
  <c r="I163" i="20"/>
  <c r="I162" i="20"/>
  <c r="I161" i="20"/>
  <c r="I160" i="20"/>
  <c r="I159" i="20"/>
  <c r="I158" i="20"/>
  <c r="I157" i="20"/>
  <c r="I156" i="20"/>
  <c r="I155" i="20"/>
  <c r="I154" i="20"/>
  <c r="I153" i="20"/>
  <c r="I152" i="20"/>
  <c r="I151" i="20"/>
  <c r="I150" i="20"/>
  <c r="I149" i="20"/>
  <c r="I145" i="20"/>
  <c r="I144" i="20"/>
  <c r="I142" i="20"/>
  <c r="I141" i="20"/>
  <c r="I140" i="20"/>
  <c r="I139" i="20"/>
  <c r="I138" i="20"/>
  <c r="I135" i="20"/>
  <c r="I134" i="20"/>
  <c r="I133" i="20"/>
  <c r="I132" i="20"/>
  <c r="I131" i="20"/>
  <c r="I130" i="20"/>
  <c r="I129" i="20"/>
  <c r="I125" i="20"/>
  <c r="I124" i="20"/>
  <c r="I123" i="20"/>
  <c r="I122" i="20"/>
  <c r="I121" i="20"/>
  <c r="I120" i="20"/>
  <c r="I118" i="20"/>
  <c r="I117" i="20"/>
  <c r="I116" i="20"/>
  <c r="I115" i="20"/>
  <c r="I112" i="20"/>
  <c r="I111" i="20"/>
  <c r="I110" i="20"/>
  <c r="I109" i="20"/>
  <c r="I108" i="20"/>
  <c r="I107" i="20"/>
  <c r="I106" i="20"/>
  <c r="I105" i="20"/>
  <c r="I104" i="20"/>
  <c r="I103" i="20"/>
  <c r="I102" i="20"/>
  <c r="I101" i="20"/>
  <c r="I100" i="20"/>
  <c r="I99" i="20"/>
  <c r="I98" i="20"/>
  <c r="I97" i="20"/>
  <c r="I96" i="20"/>
  <c r="I95" i="20"/>
  <c r="I94" i="20"/>
  <c r="I93" i="20"/>
  <c r="I92" i="20"/>
  <c r="I91" i="20"/>
  <c r="I90" i="20"/>
  <c r="I89" i="20"/>
  <c r="I87" i="20"/>
  <c r="I86" i="20"/>
  <c r="I85" i="20"/>
  <c r="I84" i="20"/>
  <c r="I83" i="20"/>
  <c r="I82" i="20"/>
  <c r="I81" i="20"/>
  <c r="I80" i="20"/>
  <c r="I79" i="20"/>
  <c r="I78" i="20"/>
  <c r="I77" i="20"/>
  <c r="I76" i="20"/>
  <c r="I75" i="20"/>
  <c r="I74" i="20"/>
  <c r="I73" i="20"/>
  <c r="I72" i="20"/>
  <c r="I71" i="20"/>
  <c r="I70" i="20"/>
  <c r="I69" i="20"/>
  <c r="I68" i="20"/>
  <c r="I67" i="20"/>
  <c r="I66" i="20"/>
  <c r="I65" i="20"/>
  <c r="I64" i="20"/>
  <c r="I63" i="20"/>
  <c r="I62" i="20"/>
  <c r="I61" i="20"/>
  <c r="I60" i="20"/>
  <c r="I59" i="20"/>
  <c r="I58" i="20"/>
  <c r="I57" i="20"/>
  <c r="I56" i="20"/>
  <c r="I55" i="20"/>
  <c r="I54" i="20"/>
  <c r="I51" i="20"/>
  <c r="I50" i="20"/>
  <c r="I49" i="20"/>
  <c r="I48" i="20"/>
  <c r="I47" i="20"/>
  <c r="I46" i="20"/>
  <c r="I45" i="20"/>
  <c r="I44" i="20"/>
  <c r="I43" i="20"/>
  <c r="I42" i="20"/>
  <c r="I41" i="20"/>
  <c r="I39" i="20"/>
  <c r="I38" i="20"/>
  <c r="I37" i="20"/>
  <c r="I36" i="20"/>
  <c r="I35" i="20"/>
  <c r="I34" i="20"/>
  <c r="I33" i="20"/>
  <c r="I32" i="20"/>
  <c r="I31" i="20"/>
  <c r="I29" i="20"/>
  <c r="I28" i="20"/>
  <c r="I27" i="20"/>
  <c r="I26" i="20"/>
  <c r="I24" i="20"/>
  <c r="I23" i="20"/>
  <c r="I22" i="20"/>
  <c r="I21" i="20"/>
  <c r="I20" i="20"/>
  <c r="I19" i="20"/>
  <c r="I18" i="20"/>
  <c r="I17" i="20"/>
  <c r="I16" i="20"/>
  <c r="I15" i="20"/>
  <c r="I14" i="20"/>
  <c r="I13" i="20"/>
  <c r="H175" i="20"/>
  <c r="H173" i="20" s="1"/>
  <c r="H155" i="20"/>
  <c r="H154" i="20"/>
  <c r="H153" i="20"/>
  <c r="H152" i="20"/>
  <c r="H145" i="20"/>
  <c r="H143" i="20" s="1"/>
  <c r="H135" i="20"/>
  <c r="H133" i="20" s="1"/>
  <c r="H119" i="20"/>
  <c r="H112" i="20"/>
  <c r="H105" i="20"/>
  <c r="H95" i="20"/>
  <c r="H69" i="20"/>
  <c r="H66" i="20"/>
  <c r="H65" i="20"/>
  <c r="H64" i="20"/>
  <c r="H68" i="20"/>
  <c r="H67" i="20" s="1"/>
  <c r="H59" i="20"/>
  <c r="H11" i="20"/>
  <c r="H32" i="20"/>
  <c r="I9" i="13"/>
  <c r="M10" i="12"/>
  <c r="H142" i="20"/>
  <c r="H141" i="20"/>
  <c r="H140" i="20"/>
  <c r="H139" i="20"/>
  <c r="H132" i="20"/>
  <c r="H131" i="20"/>
  <c r="H130" i="20"/>
  <c r="H128" i="20" s="1"/>
  <c r="H127" i="20" s="1"/>
  <c r="H129" i="20"/>
  <c r="H118" i="20"/>
  <c r="H117" i="20"/>
  <c r="H116" i="20"/>
  <c r="H115" i="20"/>
  <c r="H114" i="20" s="1"/>
  <c r="H113" i="20" s="1"/>
  <c r="H111" i="20"/>
  <c r="H110" i="20"/>
  <c r="H109" i="20"/>
  <c r="H108" i="20"/>
  <c r="H104" i="20"/>
  <c r="H103" i="20"/>
  <c r="H102" i="20"/>
  <c r="H100" i="20" s="1"/>
  <c r="H99" i="20" s="1"/>
  <c r="H101" i="20"/>
  <c r="H94" i="20"/>
  <c r="H93" i="20"/>
  <c r="H92" i="20"/>
  <c r="H91" i="20"/>
  <c r="H58" i="20"/>
  <c r="H57" i="20"/>
  <c r="H56" i="20"/>
  <c r="H55" i="20"/>
  <c r="H54" i="20" s="1"/>
  <c r="H45" i="20"/>
  <c r="H44" i="20"/>
  <c r="H43" i="20"/>
  <c r="H42" i="20"/>
  <c r="H38" i="20"/>
  <c r="H37" i="20"/>
  <c r="H36" i="20"/>
  <c r="H35" i="20"/>
  <c r="H34" i="20" s="1"/>
  <c r="H33" i="20" s="1"/>
  <c r="H17" i="20"/>
  <c r="H16" i="20"/>
  <c r="H15" i="20"/>
  <c r="H14" i="20"/>
  <c r="K177" i="20"/>
  <c r="J177" i="20"/>
  <c r="J147" i="20"/>
  <c r="I147" i="20" s="1"/>
  <c r="IV99" i="20"/>
  <c r="L80" i="20"/>
  <c r="L79" i="20"/>
  <c r="L74" i="20"/>
  <c r="L73" i="20"/>
  <c r="IV34" i="20"/>
  <c r="L23" i="20"/>
  <c r="L24" i="20" s="1"/>
  <c r="L22" i="20"/>
  <c r="M17" i="20"/>
  <c r="M16" i="20"/>
  <c r="M15" i="20"/>
  <c r="M14" i="20"/>
  <c r="IV12" i="20"/>
  <c r="B9" i="20"/>
  <c r="C9" i="20" s="1"/>
  <c r="D9" i="20" s="1"/>
  <c r="E9" i="20" s="1"/>
  <c r="A3" i="20"/>
  <c r="M17" i="12"/>
  <c r="M16" i="12"/>
  <c r="M15" i="12"/>
  <c r="M14" i="12"/>
  <c r="A3" i="12"/>
  <c r="K23" i="1"/>
  <c r="K24" i="1"/>
  <c r="K26" i="1"/>
  <c r="J23" i="1"/>
  <c r="J24" i="1"/>
  <c r="J26" i="1"/>
  <c r="H23" i="1"/>
  <c r="H24" i="1"/>
  <c r="H26" i="1"/>
  <c r="H28" i="1"/>
  <c r="H29" i="1"/>
  <c r="H30" i="1"/>
  <c r="H33" i="1"/>
  <c r="H34" i="1"/>
  <c r="H35" i="1"/>
  <c r="H36" i="1"/>
  <c r="H37" i="1"/>
  <c r="H38" i="1"/>
  <c r="H39" i="1"/>
  <c r="H40" i="1"/>
  <c r="H41" i="1"/>
  <c r="H21" i="1"/>
  <c r="G48" i="1"/>
  <c r="N11" i="1"/>
  <c r="D41" i="19"/>
  <c r="F11" i="19"/>
  <c r="F12" i="19"/>
  <c r="F13" i="19"/>
  <c r="F14" i="19"/>
  <c r="F15" i="19"/>
  <c r="F18" i="19"/>
  <c r="F19" i="19"/>
  <c r="F20" i="19"/>
  <c r="F21" i="19"/>
  <c r="F22" i="19"/>
  <c r="F24" i="19"/>
  <c r="F25" i="19"/>
  <c r="F26" i="19"/>
  <c r="F27" i="19"/>
  <c r="F28" i="19"/>
  <c r="F29" i="19"/>
  <c r="F30" i="19"/>
  <c r="F31" i="19"/>
  <c r="F32" i="19"/>
  <c r="F33" i="19"/>
  <c r="F35" i="19"/>
  <c r="F36" i="19"/>
  <c r="F37" i="19"/>
  <c r="F38" i="19"/>
  <c r="F39" i="19"/>
  <c r="F40" i="19"/>
  <c r="F41" i="19"/>
  <c r="F42" i="19"/>
  <c r="F43" i="19"/>
  <c r="F44" i="19"/>
  <c r="F45" i="19"/>
  <c r="F46" i="19"/>
  <c r="F10" i="19"/>
  <c r="E23" i="19"/>
  <c r="F23" i="19" s="1"/>
  <c r="D23" i="19"/>
  <c r="D17" i="19"/>
  <c r="L80" i="12"/>
  <c r="L79" i="12"/>
  <c r="L81" i="12" s="1"/>
  <c r="L74" i="12"/>
  <c r="L73" i="12"/>
  <c r="L75" i="12" s="1"/>
  <c r="L22" i="12"/>
  <c r="L23" i="12"/>
  <c r="L24" i="12" s="1"/>
  <c r="I19" i="13"/>
  <c r="A22" i="19"/>
  <c r="A28" i="19"/>
  <c r="A40" i="19"/>
  <c r="A46" i="19"/>
  <c r="J156" i="12"/>
  <c r="IV98" i="12"/>
  <c r="IV34" i="12"/>
  <c r="IV12" i="12"/>
  <c r="B9" i="12"/>
  <c r="C9" i="12" s="1"/>
  <c r="D9" i="12" s="1"/>
  <c r="E9" i="12" s="1"/>
  <c r="J40" i="12"/>
  <c r="K30" i="1"/>
  <c r="D34" i="19"/>
  <c r="E16" i="19" s="1"/>
  <c r="J105" i="12"/>
  <c r="J29" i="1"/>
  <c r="J125" i="12"/>
  <c r="J112" i="12"/>
  <c r="J134" i="12"/>
  <c r="J30" i="1"/>
  <c r="J88" i="12"/>
  <c r="J98" i="12"/>
  <c r="K29" i="1"/>
  <c r="K143" i="12"/>
  <c r="J143" i="12"/>
  <c r="J32" i="1"/>
  <c r="J52" i="12"/>
  <c r="K28" i="1"/>
  <c r="K21" i="1"/>
  <c r="A3" i="1"/>
  <c r="J11" i="12"/>
  <c r="J31" i="1"/>
  <c r="K11" i="12"/>
  <c r="J144" i="12"/>
  <c r="J169" i="12"/>
  <c r="J173" i="12"/>
  <c r="K173" i="12"/>
  <c r="J172" i="12"/>
  <c r="J10" i="12"/>
  <c r="K10" i="12"/>
  <c r="F48" i="1"/>
  <c r="J21" i="1"/>
  <c r="J28" i="1"/>
  <c r="H13" i="20"/>
  <c r="H28" i="20" s="1"/>
  <c r="H18" i="20" s="1"/>
  <c r="J53" i="21"/>
  <c r="J53" i="22" s="1"/>
  <c r="H55" i="21"/>
  <c r="I119" i="20"/>
  <c r="M24" i="21"/>
  <c r="L19" i="22"/>
  <c r="M23" i="21"/>
  <c r="I22" i="22"/>
  <c r="I137" i="21"/>
  <c r="I137" i="22" s="1"/>
  <c r="K137" i="22"/>
  <c r="L12" i="22"/>
  <c r="K147" i="22"/>
  <c r="M21" i="21"/>
  <c r="I21" i="22"/>
  <c r="L14" i="22"/>
  <c r="L16" i="22"/>
  <c r="L22" i="21"/>
  <c r="L22" i="22" s="1"/>
  <c r="L18" i="22"/>
  <c r="J128" i="21"/>
  <c r="J128" i="22" s="1"/>
  <c r="J129" i="22"/>
  <c r="L32" i="21"/>
  <c r="L32" i="22" s="1"/>
  <c r="L13" i="22"/>
  <c r="O116" i="27"/>
  <c r="Q115" i="27"/>
  <c r="O50" i="27"/>
  <c r="P107" i="27"/>
  <c r="V72" i="27"/>
  <c r="U72" i="27" s="1"/>
  <c r="U58" i="27"/>
  <c r="Q58" i="27" s="1"/>
  <c r="I125" i="21"/>
  <c r="U134" i="27"/>
  <c r="Q134" i="27" s="1"/>
  <c r="K148" i="22"/>
  <c r="U154" i="27"/>
  <c r="U39" i="27"/>
  <c r="J189" i="21"/>
  <c r="U171" i="27"/>
  <c r="J148" i="21"/>
  <c r="I148" i="21" s="1"/>
  <c r="U108" i="27"/>
  <c r="U50" i="27"/>
  <c r="AG50" i="27" s="1"/>
  <c r="I127" i="21"/>
  <c r="U109" i="27"/>
  <c r="U120" i="27"/>
  <c r="Q120" i="27" s="1"/>
  <c r="U135" i="27"/>
  <c r="Q135" i="27" s="1"/>
  <c r="N135" i="27" s="1"/>
  <c r="L128" i="22"/>
  <c r="K126" i="22"/>
  <c r="K90" i="22"/>
  <c r="K34" i="22"/>
  <c r="U70" i="27"/>
  <c r="U44" i="27"/>
  <c r="K53" i="21"/>
  <c r="V52" i="27"/>
  <c r="U52" i="27" s="1"/>
  <c r="U53" i="27"/>
  <c r="U145" i="27"/>
  <c r="J148" i="22"/>
  <c r="V107" i="27"/>
  <c r="U100" i="27"/>
  <c r="V99" i="27"/>
  <c r="I90" i="21"/>
  <c r="U38" i="27"/>
  <c r="V37" i="27"/>
  <c r="V36" i="27" s="1"/>
  <c r="V90" i="27"/>
  <c r="U91" i="27"/>
  <c r="K128" i="21"/>
  <c r="I129" i="21"/>
  <c r="I129" i="22" s="1"/>
  <c r="K129" i="22"/>
  <c r="V164" i="27"/>
  <c r="V163" i="27" s="1"/>
  <c r="U165" i="27"/>
  <c r="K13" i="22"/>
  <c r="O192" i="27"/>
  <c r="AG192" i="27" s="1"/>
  <c r="I90" i="22"/>
  <c r="M153" i="27"/>
  <c r="M53" i="27"/>
  <c r="M154" i="27"/>
  <c r="O154" i="27"/>
  <c r="AG154" i="27" s="1"/>
  <c r="O53" i="27"/>
  <c r="AG53" i="27" s="1"/>
  <c r="M109" i="27"/>
  <c r="O27" i="27"/>
  <c r="AG27" i="27" s="1"/>
  <c r="N27" i="27"/>
  <c r="Q42" i="27"/>
  <c r="O46" i="27"/>
  <c r="AG46" i="27" s="1"/>
  <c r="N192" i="27"/>
  <c r="L76" i="27"/>
  <c r="K76" i="27" s="1"/>
  <c r="M51" i="27"/>
  <c r="L51" i="27" s="1"/>
  <c r="O54" i="27"/>
  <c r="AG54" i="27" s="1"/>
  <c r="O96" i="27"/>
  <c r="AG96" i="27" s="1"/>
  <c r="M146" i="27"/>
  <c r="L146" i="27" s="1"/>
  <c r="V43" i="27"/>
  <c r="U43" i="27" s="1"/>
  <c r="U45" i="27"/>
  <c r="Q97" i="27"/>
  <c r="N97" i="27" s="1"/>
  <c r="L97" i="27" s="1"/>
  <c r="K97" i="27" s="1"/>
  <c r="M29" i="27"/>
  <c r="M107" i="27"/>
  <c r="O107" i="27"/>
  <c r="U25" i="27"/>
  <c r="T124" i="27"/>
  <c r="R124" i="27" s="1"/>
  <c r="M91" i="27"/>
  <c r="L91" i="27" s="1"/>
  <c r="O78" i="27"/>
  <c r="AG78" i="27" s="1"/>
  <c r="P69" i="27"/>
  <c r="O101" i="27"/>
  <c r="AG101" i="27" s="1"/>
  <c r="S17" i="27"/>
  <c r="S12" i="27" s="1"/>
  <c r="N127" i="27"/>
  <c r="L127" i="27" s="1"/>
  <c r="L44" i="27"/>
  <c r="K44" i="27" s="1"/>
  <c r="O71" i="27"/>
  <c r="AG71" i="27" s="1"/>
  <c r="M101" i="27"/>
  <c r="K108" i="27"/>
  <c r="AL154" i="27"/>
  <c r="M54" i="27"/>
  <c r="L54" i="27" s="1"/>
  <c r="K54" i="27" s="1"/>
  <c r="Q47" i="27"/>
  <c r="N47" i="27" s="1"/>
  <c r="M22" i="27"/>
  <c r="L22" i="27" s="1"/>
  <c r="N13" i="27"/>
  <c r="L13" i="27" s="1"/>
  <c r="W23" i="27"/>
  <c r="AL13" i="27"/>
  <c r="L101" i="27"/>
  <c r="O13" i="27"/>
  <c r="O140" i="27"/>
  <c r="AG140" i="27" s="1"/>
  <c r="Q93" i="27"/>
  <c r="N94" i="27"/>
  <c r="O153" i="27"/>
  <c r="K125" i="22"/>
  <c r="J121" i="21"/>
  <c r="I121" i="21" s="1"/>
  <c r="O157" i="27"/>
  <c r="AG157" i="27" s="1"/>
  <c r="AM15" i="27"/>
  <c r="O87" i="27"/>
  <c r="AG87" i="27" s="1"/>
  <c r="O88" i="27"/>
  <c r="AG88" i="27" s="1"/>
  <c r="N88" i="27"/>
  <c r="L88" i="27" s="1"/>
  <c r="K88" i="27" s="1"/>
  <c r="N87" i="27"/>
  <c r="N85" i="27" s="1"/>
  <c r="Q85" i="27"/>
  <c r="L154" i="27"/>
  <c r="L138" i="22"/>
  <c r="K157" i="22"/>
  <c r="U61" i="27"/>
  <c r="Q61" i="27" s="1"/>
  <c r="O61" i="27" s="1"/>
  <c r="AG61" i="27" s="1"/>
  <c r="V55" i="27"/>
  <c r="V51" i="27" s="1"/>
  <c r="K54" i="22"/>
  <c r="AU121" i="27"/>
  <c r="I125" i="22"/>
  <c r="J121" i="22"/>
  <c r="K12" i="21"/>
  <c r="Q10" i="21" s="1"/>
  <c r="U26" i="27"/>
  <c r="I54" i="21"/>
  <c r="I54" i="22" s="1"/>
  <c r="U131" i="27"/>
  <c r="V115" i="27"/>
  <c r="U115" i="27" s="1"/>
  <c r="U121" i="27"/>
  <c r="M26" i="21"/>
  <c r="K11" i="21"/>
  <c r="K11" i="22" s="1"/>
  <c r="K174" i="22"/>
  <c r="I174" i="21"/>
  <c r="AU123" i="27"/>
  <c r="I161" i="21"/>
  <c r="I161" i="22" s="1"/>
  <c r="I120" i="21"/>
  <c r="K120" i="22"/>
  <c r="K100" i="22"/>
  <c r="I100" i="21"/>
  <c r="I100" i="22" s="1"/>
  <c r="I107" i="21"/>
  <c r="I107" i="22" s="1"/>
  <c r="L34" i="22"/>
  <c r="L11" i="21"/>
  <c r="I34" i="21"/>
  <c r="K26" i="22"/>
  <c r="I53" i="21"/>
  <c r="I53" i="22" s="1"/>
  <c r="K53" i="22"/>
  <c r="K127" i="22"/>
  <c r="J158" i="21"/>
  <c r="K158" i="22"/>
  <c r="K107" i="22"/>
  <c r="I139" i="21"/>
  <c r="I139" i="22" s="1"/>
  <c r="K139" i="22"/>
  <c r="K138" i="21"/>
  <c r="L41" i="22"/>
  <c r="J126" i="22"/>
  <c r="I126" i="21"/>
  <c r="AU122" i="27" s="1"/>
  <c r="K128" i="22"/>
  <c r="K41" i="21"/>
  <c r="K41" i="22" s="1"/>
  <c r="K42" i="22"/>
  <c r="K115" i="22"/>
  <c r="K114" i="21"/>
  <c r="K114" i="22" s="1"/>
  <c r="K48" i="22"/>
  <c r="I48" i="21"/>
  <c r="J157" i="21"/>
  <c r="K161" i="22"/>
  <c r="I126" i="22"/>
  <c r="L11" i="22"/>
  <c r="I120" i="22"/>
  <c r="I157" i="21"/>
  <c r="I157" i="22" s="1"/>
  <c r="J157" i="22"/>
  <c r="I34" i="22"/>
  <c r="K150" i="22"/>
  <c r="K149" i="21"/>
  <c r="K149" i="22" s="1"/>
  <c r="K138" i="22"/>
  <c r="J158" i="22"/>
  <c r="I158" i="21"/>
  <c r="I158" i="22" s="1"/>
  <c r="I174" i="22"/>
  <c r="S12" i="21" l="1"/>
  <c r="P12" i="21"/>
  <c r="P13" i="21" s="1"/>
  <c r="L10" i="22"/>
  <c r="I121" i="22"/>
  <c r="AU120" i="27"/>
  <c r="I148" i="22"/>
  <c r="M148" i="21"/>
  <c r="J149" i="21"/>
  <c r="Q121" i="27"/>
  <c r="U37" i="27"/>
  <c r="O76" i="27"/>
  <c r="AG76" i="27" s="1"/>
  <c r="L109" i="27"/>
  <c r="K109" i="27" s="1"/>
  <c r="AG116" i="27"/>
  <c r="L23" i="21"/>
  <c r="L23" i="22" s="1"/>
  <c r="I40" i="20"/>
  <c r="L24" i="21"/>
  <c r="L24" i="22" s="1"/>
  <c r="M103" i="21"/>
  <c r="M106" i="21"/>
  <c r="M110" i="21"/>
  <c r="M113" i="21"/>
  <c r="J26" i="22"/>
  <c r="J12" i="21"/>
  <c r="J11" i="21" s="1"/>
  <c r="AG28" i="27"/>
  <c r="K101" i="27"/>
  <c r="Q113" i="27"/>
  <c r="M121" i="27"/>
  <c r="L81" i="20"/>
  <c r="H90" i="20"/>
  <c r="H89" i="20" s="1"/>
  <c r="J115" i="22"/>
  <c r="AG14" i="27"/>
  <c r="X163" i="27"/>
  <c r="I150" i="21"/>
  <c r="I150" i="22" s="1"/>
  <c r="I115" i="21"/>
  <c r="M174" i="21"/>
  <c r="Q89" i="27"/>
  <c r="U164" i="27"/>
  <c r="H107" i="20"/>
  <c r="H106" i="20" s="1"/>
  <c r="H128" i="21"/>
  <c r="X48" i="27"/>
  <c r="O40" i="27"/>
  <c r="W106" i="27"/>
  <c r="M161" i="21"/>
  <c r="N61" i="27"/>
  <c r="N112" i="27"/>
  <c r="N110" i="27" s="1"/>
  <c r="H41" i="20"/>
  <c r="H40" i="20" s="1"/>
  <c r="I137" i="20"/>
  <c r="H42" i="21"/>
  <c r="H41" i="21" s="1"/>
  <c r="M93" i="21"/>
  <c r="M96" i="21"/>
  <c r="L114" i="22"/>
  <c r="AG138" i="27"/>
  <c r="O152" i="27"/>
  <c r="L40" i="27"/>
  <c r="K40" i="27" s="1"/>
  <c r="K46" i="27"/>
  <c r="L83" i="27"/>
  <c r="K83" i="27" s="1"/>
  <c r="O112" i="27"/>
  <c r="AG112" i="27" s="1"/>
  <c r="S11" i="27"/>
  <c r="M105" i="21"/>
  <c r="M109" i="21"/>
  <c r="M112" i="21"/>
  <c r="Q36" i="27"/>
  <c r="AG168" i="27"/>
  <c r="Q41" i="27"/>
  <c r="N107" i="27"/>
  <c r="N106" i="27" s="1"/>
  <c r="L116" i="27"/>
  <c r="K116" i="27" s="1"/>
  <c r="M124" i="27"/>
  <c r="R52" i="27"/>
  <c r="D10" i="35"/>
  <c r="D9" i="35" s="1"/>
  <c r="I48" i="22"/>
  <c r="L48" i="21"/>
  <c r="L48" i="22" s="1"/>
  <c r="I114" i="21"/>
  <c r="I114" i="22" s="1"/>
  <c r="K12" i="22"/>
  <c r="I26" i="22"/>
  <c r="L26" i="21"/>
  <c r="L26" i="22" s="1"/>
  <c r="M152" i="27"/>
  <c r="L47" i="21"/>
  <c r="L47" i="22" s="1"/>
  <c r="M165" i="21"/>
  <c r="M169" i="21"/>
  <c r="M173" i="21"/>
  <c r="J31" i="22"/>
  <c r="AG19" i="27"/>
  <c r="AG31" i="27"/>
  <c r="AG33" i="27"/>
  <c r="AG38" i="27"/>
  <c r="AG40" i="27"/>
  <c r="AG45" i="27"/>
  <c r="AG70" i="27"/>
  <c r="AG145" i="27"/>
  <c r="AG162" i="27"/>
  <c r="AG166" i="27"/>
  <c r="U102" i="27"/>
  <c r="AG111" i="27"/>
  <c r="AG109" i="27"/>
  <c r="U107" i="27"/>
  <c r="AG107" i="27" s="1"/>
  <c r="AG131" i="27"/>
  <c r="AG148" i="27"/>
  <c r="W163" i="27"/>
  <c r="V89" i="27"/>
  <c r="U89" i="27" s="1"/>
  <c r="V143" i="27"/>
  <c r="M18" i="27"/>
  <c r="M17" i="27" s="1"/>
  <c r="M12" i="27" s="1"/>
  <c r="L45" i="27"/>
  <c r="K45" i="27" s="1"/>
  <c r="N49" i="27"/>
  <c r="N52" i="27"/>
  <c r="K63" i="27"/>
  <c r="N79" i="27"/>
  <c r="L86" i="27"/>
  <c r="K86" i="27" s="1"/>
  <c r="L103" i="27"/>
  <c r="K103" i="27" s="1"/>
  <c r="L148" i="27"/>
  <c r="K148" i="27" s="1"/>
  <c r="R29" i="27"/>
  <c r="AG15" i="27"/>
  <c r="R72" i="27"/>
  <c r="R130" i="27"/>
  <c r="O79" i="27"/>
  <c r="AG79" i="27" s="1"/>
  <c r="L95" i="27"/>
  <c r="K95" i="27" s="1"/>
  <c r="L126" i="27"/>
  <c r="K126" i="27" s="1"/>
  <c r="P37" i="27"/>
  <c r="P36" i="27" s="1"/>
  <c r="O52" i="27"/>
  <c r="L157" i="27"/>
  <c r="K157" i="27" s="1"/>
  <c r="M130" i="27"/>
  <c r="AG94" i="27"/>
  <c r="AG91" i="27"/>
  <c r="Q32" i="35"/>
  <c r="Q8" i="35" s="1"/>
  <c r="D118" i="36"/>
  <c r="I149" i="21"/>
  <c r="I149" i="22" s="1"/>
  <c r="O47" i="27"/>
  <c r="AG47" i="27" s="1"/>
  <c r="I128" i="21"/>
  <c r="U36" i="27"/>
  <c r="L75" i="20"/>
  <c r="H12" i="20"/>
  <c r="H150" i="20"/>
  <c r="H148" i="20" s="1"/>
  <c r="K12" i="20"/>
  <c r="K11" i="20" s="1"/>
  <c r="K10" i="20" s="1"/>
  <c r="M36" i="21"/>
  <c r="H35" i="21"/>
  <c r="L35" i="21" s="1"/>
  <c r="L35" i="22" s="1"/>
  <c r="M176" i="21"/>
  <c r="L28" i="21"/>
  <c r="L28" i="22" s="1"/>
  <c r="L50" i="21"/>
  <c r="L50" i="22" s="1"/>
  <c r="I28" i="22"/>
  <c r="M99" i="21"/>
  <c r="M163" i="21"/>
  <c r="M167" i="21"/>
  <c r="M171" i="21"/>
  <c r="AG39" i="27"/>
  <c r="AG44" i="27"/>
  <c r="AG63" i="27"/>
  <c r="AG108" i="27"/>
  <c r="AG156" i="27"/>
  <c r="AG165" i="27"/>
  <c r="O42" i="27"/>
  <c r="AG84" i="27"/>
  <c r="AG127" i="27"/>
  <c r="AG25" i="27"/>
  <c r="N93" i="27"/>
  <c r="AG29" i="27"/>
  <c r="M23" i="27"/>
  <c r="M79" i="27"/>
  <c r="M147" i="27"/>
  <c r="M143" i="27" s="1"/>
  <c r="L15" i="27"/>
  <c r="AG26" i="27"/>
  <c r="L131" i="27"/>
  <c r="AG104" i="27"/>
  <c r="AG13" i="27"/>
  <c r="M5" i="32"/>
  <c r="G13" i="33"/>
  <c r="J12" i="33" s="1"/>
  <c r="J12" i="32"/>
  <c r="C12" i="26"/>
  <c r="C11" i="26" s="1"/>
  <c r="D35" i="23"/>
  <c r="D36" i="23" s="1"/>
  <c r="E36" i="23" s="1"/>
  <c r="M9" i="36"/>
  <c r="E51" i="36"/>
  <c r="E50" i="36" s="1"/>
  <c r="F46" i="23"/>
  <c r="C27" i="24"/>
  <c r="E46" i="23"/>
  <c r="E10" i="36"/>
  <c r="F9" i="36"/>
  <c r="C37" i="25"/>
  <c r="F22" i="23"/>
  <c r="E22" i="23"/>
  <c r="M50" i="36"/>
  <c r="N32" i="36"/>
  <c r="R8" i="36"/>
  <c r="D18" i="32"/>
  <c r="D156" i="36"/>
  <c r="D11" i="23"/>
  <c r="D10" i="23" s="1"/>
  <c r="C23" i="24" s="1"/>
  <c r="E33" i="23"/>
  <c r="F39" i="23"/>
  <c r="D109" i="36"/>
  <c r="D34" i="23"/>
  <c r="F34" i="23" s="1"/>
  <c r="C35" i="25"/>
  <c r="C36" i="26"/>
  <c r="F42" i="23"/>
  <c r="D31" i="25"/>
  <c r="C32" i="26" s="1"/>
  <c r="F38" i="23"/>
  <c r="E47" i="25"/>
  <c r="C55" i="25"/>
  <c r="C47" i="25" s="1"/>
  <c r="F16" i="23"/>
  <c r="E16" i="23"/>
  <c r="C36" i="25"/>
  <c r="C34" i="26"/>
  <c r="C33" i="25"/>
  <c r="F31" i="23"/>
  <c r="C12" i="25"/>
  <c r="C40" i="25"/>
  <c r="C41" i="26"/>
  <c r="D40" i="23"/>
  <c r="D41" i="23" s="1"/>
  <c r="F37" i="23"/>
  <c r="E37" i="23"/>
  <c r="D154" i="35"/>
  <c r="C132" i="35"/>
  <c r="C131" i="35" s="1"/>
  <c r="C32" i="35" s="1"/>
  <c r="D132" i="35"/>
  <c r="D131" i="35" s="1"/>
  <c r="D15" i="35"/>
  <c r="D48" i="35"/>
  <c r="D47" i="35" s="1"/>
  <c r="AD114" i="35"/>
  <c r="AD32" i="35" s="1"/>
  <c r="AD8" i="35" s="1"/>
  <c r="T8" i="35"/>
  <c r="L8" i="35" s="1"/>
  <c r="K8" i="35" s="1"/>
  <c r="N114" i="35"/>
  <c r="P32" i="35"/>
  <c r="C10" i="35"/>
  <c r="C9" i="35" s="1"/>
  <c r="E32" i="35"/>
  <c r="E8" i="35" s="1"/>
  <c r="H47" i="35"/>
  <c r="I32" i="35"/>
  <c r="I8" i="35" s="1"/>
  <c r="L78" i="27"/>
  <c r="K78" i="27" s="1"/>
  <c r="AR78" i="27" s="1"/>
  <c r="AQ78" i="27" s="1"/>
  <c r="L38" i="27"/>
  <c r="K38" i="27" s="1"/>
  <c r="N37" i="27"/>
  <c r="N36" i="27" s="1"/>
  <c r="L39" i="27"/>
  <c r="K39" i="27" s="1"/>
  <c r="AG171" i="27"/>
  <c r="L57" i="27"/>
  <c r="K57" i="27" s="1"/>
  <c r="K13" i="27"/>
  <c r="K146" i="27"/>
  <c r="L192" i="27"/>
  <c r="K127" i="27"/>
  <c r="L190" i="27"/>
  <c r="L193" i="27"/>
  <c r="L168" i="27"/>
  <c r="K168" i="27" s="1"/>
  <c r="K131" i="27"/>
  <c r="K154" i="27"/>
  <c r="N136" i="27"/>
  <c r="L136" i="27" s="1"/>
  <c r="K136" i="27" s="1"/>
  <c r="O73" i="27"/>
  <c r="AG73" i="27" s="1"/>
  <c r="N73" i="27"/>
  <c r="L73" i="27" s="1"/>
  <c r="K73" i="27" s="1"/>
  <c r="N77" i="27"/>
  <c r="L77" i="27" s="1"/>
  <c r="K77" i="27" s="1"/>
  <c r="O77" i="27"/>
  <c r="AG77" i="27" s="1"/>
  <c r="O58" i="27"/>
  <c r="AG58" i="27" s="1"/>
  <c r="N58" i="27"/>
  <c r="L58" i="27" s="1"/>
  <c r="K58" i="27" s="1"/>
  <c r="P143" i="27"/>
  <c r="O144" i="27"/>
  <c r="O122" i="27"/>
  <c r="AG122" i="27" s="1"/>
  <c r="N122" i="27"/>
  <c r="L122" i="27" s="1"/>
  <c r="K122" i="27" s="1"/>
  <c r="N161" i="27"/>
  <c r="L161" i="27" s="1"/>
  <c r="K161" i="27" s="1"/>
  <c r="O161" i="27"/>
  <c r="AG161" i="27" s="1"/>
  <c r="U143" i="27"/>
  <c r="L135" i="27"/>
  <c r="K135" i="27" s="1"/>
  <c r="V114" i="27"/>
  <c r="Q124" i="27"/>
  <c r="O124" i="27" s="1"/>
  <c r="O43" i="27"/>
  <c r="AG43" i="27" s="1"/>
  <c r="O146" i="27"/>
  <c r="AG146" i="27" s="1"/>
  <c r="O97" i="27"/>
  <c r="AG97" i="27" s="1"/>
  <c r="AN14" i="27"/>
  <c r="AN20" i="27"/>
  <c r="U62" i="27"/>
  <c r="AS14" i="27"/>
  <c r="O57" i="27"/>
  <c r="AG57" i="27" s="1"/>
  <c r="M55" i="27"/>
  <c r="M144" i="27"/>
  <c r="L144" i="27" s="1"/>
  <c r="L159" i="27"/>
  <c r="K159" i="27" s="1"/>
  <c r="N164" i="27"/>
  <c r="L191" i="27"/>
  <c r="K191" i="27" s="1"/>
  <c r="AN187" i="27"/>
  <c r="L26" i="27"/>
  <c r="K26" i="27" s="1"/>
  <c r="V17" i="27"/>
  <c r="N171" i="27"/>
  <c r="L171" i="27" s="1"/>
  <c r="Q55" i="27"/>
  <c r="O55" i="27" s="1"/>
  <c r="L153" i="27"/>
  <c r="N160" i="27"/>
  <c r="L160" i="27" s="1"/>
  <c r="K160" i="27" s="1"/>
  <c r="L87" i="27"/>
  <c r="K87" i="27" s="1"/>
  <c r="O93" i="27"/>
  <c r="O23" i="27"/>
  <c r="U93" i="27"/>
  <c r="Q128" i="27"/>
  <c r="V106" i="27"/>
  <c r="U106" i="27" s="1"/>
  <c r="U90" i="27"/>
  <c r="L145" i="27"/>
  <c r="K145" i="27" s="1"/>
  <c r="L53" i="27"/>
  <c r="K53" i="27" s="1"/>
  <c r="V98" i="27"/>
  <c r="AN31" i="27"/>
  <c r="O110" i="27"/>
  <c r="AG110" i="27" s="1"/>
  <c r="U124" i="27"/>
  <c r="Q119" i="27"/>
  <c r="Q118" i="27" s="1"/>
  <c r="O118" i="27" s="1"/>
  <c r="U144" i="27"/>
  <c r="U147" i="27"/>
  <c r="O167" i="27"/>
  <c r="L33" i="27"/>
  <c r="M93" i="27"/>
  <c r="L93" i="27" s="1"/>
  <c r="N99" i="27"/>
  <c r="N152" i="27"/>
  <c r="R144" i="27"/>
  <c r="L81" i="27"/>
  <c r="K81" i="27" s="1"/>
  <c r="T48" i="27"/>
  <c r="U163" i="27"/>
  <c r="L79" i="27"/>
  <c r="K79" i="27" s="1"/>
  <c r="V42" i="27"/>
  <c r="Q155" i="27"/>
  <c r="Q151" i="27" s="1"/>
  <c r="O132" i="27"/>
  <c r="W68" i="27"/>
  <c r="L32" i="27"/>
  <c r="L112" i="27"/>
  <c r="T143" i="27"/>
  <c r="K31" i="27"/>
  <c r="O160" i="27"/>
  <c r="AG160" i="27" s="1"/>
  <c r="N140" i="27"/>
  <c r="L140" i="27" s="1"/>
  <c r="K140" i="27" s="1"/>
  <c r="U155" i="27"/>
  <c r="U118" i="27"/>
  <c r="P130" i="27"/>
  <c r="K162" i="27"/>
  <c r="N90" i="27"/>
  <c r="L132" i="27"/>
  <c r="N155" i="27"/>
  <c r="N151" i="27" s="1"/>
  <c r="L166" i="27"/>
  <c r="K166" i="27" s="1"/>
  <c r="AN25" i="27"/>
  <c r="U85" i="27"/>
  <c r="T68" i="27"/>
  <c r="M52" i="27"/>
  <c r="L52" i="27" s="1"/>
  <c r="K52" i="27" s="1"/>
  <c r="Q142" i="27"/>
  <c r="O137" i="27"/>
  <c r="AG137" i="27" s="1"/>
  <c r="L27" i="27"/>
  <c r="L28" i="27"/>
  <c r="U23" i="27"/>
  <c r="R25" i="27"/>
  <c r="R23" i="27" s="1"/>
  <c r="U21" i="27"/>
  <c r="AG21" i="27" s="1"/>
  <c r="H13" i="22"/>
  <c r="H29" i="22" s="1"/>
  <c r="H18" i="22" s="1"/>
  <c r="H12" i="22" s="1"/>
  <c r="H42" i="22"/>
  <c r="H41" i="22" s="1"/>
  <c r="H55" i="22"/>
  <c r="H101" i="22"/>
  <c r="H100" i="22" s="1"/>
  <c r="H108" i="22"/>
  <c r="H107" i="22" s="1"/>
  <c r="H129" i="22"/>
  <c r="H128" i="22" s="1"/>
  <c r="H151" i="22"/>
  <c r="H149" i="22" s="1"/>
  <c r="O134" i="27"/>
  <c r="AG134" i="27" s="1"/>
  <c r="N134" i="27"/>
  <c r="AL133" i="27"/>
  <c r="U133" i="27"/>
  <c r="AP132" i="27"/>
  <c r="U132" i="27"/>
  <c r="V130" i="27"/>
  <c r="V129" i="27" s="1"/>
  <c r="U129" i="27" s="1"/>
  <c r="H18" i="21"/>
  <c r="M29" i="21"/>
  <c r="L29" i="21"/>
  <c r="L29" i="22" s="1"/>
  <c r="I138" i="21"/>
  <c r="K10" i="21"/>
  <c r="K10" i="22" s="1"/>
  <c r="M48" i="21"/>
  <c r="AO53" i="27"/>
  <c r="U55" i="27"/>
  <c r="AU119" i="27"/>
  <c r="N121" i="27"/>
  <c r="L121" i="27" s="1"/>
  <c r="K121" i="27" s="1"/>
  <c r="O121" i="27"/>
  <c r="AG121" i="27" s="1"/>
  <c r="J149" i="22"/>
  <c r="L130" i="27"/>
  <c r="O120" i="27"/>
  <c r="AG120" i="27" s="1"/>
  <c r="N120" i="27"/>
  <c r="L120" i="27" s="1"/>
  <c r="K120" i="27" s="1"/>
  <c r="I39" i="22"/>
  <c r="M39" i="21"/>
  <c r="I43" i="22"/>
  <c r="L43" i="21"/>
  <c r="L43" i="22" s="1"/>
  <c r="I49" i="22"/>
  <c r="L49" i="21"/>
  <c r="L49" i="22" s="1"/>
  <c r="J52" i="20"/>
  <c r="I52" i="20" s="1"/>
  <c r="I53" i="20"/>
  <c r="P114" i="27"/>
  <c r="O115" i="27"/>
  <c r="AG115" i="27" s="1"/>
  <c r="M62" i="27"/>
  <c r="N69" i="27"/>
  <c r="L70" i="27"/>
  <c r="K70" i="27" s="1"/>
  <c r="L125" i="27"/>
  <c r="K125" i="27" s="1"/>
  <c r="N124" i="27"/>
  <c r="L138" i="27"/>
  <c r="K138" i="27" s="1"/>
  <c r="M137" i="27"/>
  <c r="R69" i="27"/>
  <c r="S68" i="27"/>
  <c r="M100" i="27"/>
  <c r="P99" i="27"/>
  <c r="O100" i="27"/>
  <c r="AG100" i="27" s="1"/>
  <c r="Q67" i="27"/>
  <c r="O66" i="27"/>
  <c r="AG66" i="27" s="1"/>
  <c r="T23" i="27"/>
  <c r="N25" i="27"/>
  <c r="L25" i="27" s="1"/>
  <c r="P68" i="27"/>
  <c r="O69" i="27"/>
  <c r="I20" i="22"/>
  <c r="L20" i="21"/>
  <c r="L20" i="22" s="1"/>
  <c r="M20" i="21"/>
  <c r="I97" i="22"/>
  <c r="M97" i="21"/>
  <c r="H107" i="21"/>
  <c r="M108" i="21"/>
  <c r="M162" i="21"/>
  <c r="I162" i="22"/>
  <c r="M166" i="21"/>
  <c r="I166" i="22"/>
  <c r="M170" i="21"/>
  <c r="I170" i="22"/>
  <c r="M177" i="21"/>
  <c r="I177" i="22"/>
  <c r="N56" i="27"/>
  <c r="O56" i="27"/>
  <c r="AG56" i="27" s="1"/>
  <c r="N59" i="27"/>
  <c r="L59" i="27" s="1"/>
  <c r="K59" i="27" s="1"/>
  <c r="O59" i="27"/>
  <c r="AG59" i="27" s="1"/>
  <c r="N75" i="27"/>
  <c r="L75" i="27" s="1"/>
  <c r="K75" i="27" s="1"/>
  <c r="O75" i="27"/>
  <c r="AG75" i="27" s="1"/>
  <c r="W98" i="27"/>
  <c r="U99" i="27"/>
  <c r="N123" i="27"/>
  <c r="L123" i="27" s="1"/>
  <c r="K123" i="27" s="1"/>
  <c r="O123" i="27"/>
  <c r="AG123" i="27" s="1"/>
  <c r="M155" i="27"/>
  <c r="L156" i="27"/>
  <c r="K156" i="27" s="1"/>
  <c r="N64" i="27"/>
  <c r="O64" i="27"/>
  <c r="Q62" i="27"/>
  <c r="Q102" i="27"/>
  <c r="N104" i="27"/>
  <c r="L47" i="27"/>
  <c r="K47" i="27" s="1"/>
  <c r="T114" i="27"/>
  <c r="L94" i="27"/>
  <c r="K94" i="27" s="1"/>
  <c r="K91" i="27"/>
  <c r="J113" i="20"/>
  <c r="I113" i="20" s="1"/>
  <c r="L45" i="21"/>
  <c r="L45" i="22" s="1"/>
  <c r="M49" i="21"/>
  <c r="AN27" i="27"/>
  <c r="X35" i="27"/>
  <c r="L82" i="27"/>
  <c r="K82" i="27" s="1"/>
  <c r="L96" i="27"/>
  <c r="K96" i="27" s="1"/>
  <c r="R62" i="27"/>
  <c r="S129" i="27"/>
  <c r="R20" i="27"/>
  <c r="AR76" i="27"/>
  <c r="AQ76" i="27" s="1"/>
  <c r="J11" i="20"/>
  <c r="I12" i="20"/>
  <c r="L27" i="21"/>
  <c r="L27" i="22" s="1"/>
  <c r="I27" i="22"/>
  <c r="M31" i="21"/>
  <c r="L31" i="21"/>
  <c r="L31" i="22" s="1"/>
  <c r="M35" i="21"/>
  <c r="I46" i="22"/>
  <c r="M46" i="21"/>
  <c r="L51" i="21"/>
  <c r="L51" i="22" s="1"/>
  <c r="I51" i="22"/>
  <c r="M51" i="21"/>
  <c r="N74" i="27"/>
  <c r="Q72" i="27"/>
  <c r="Q163" i="27"/>
  <c r="O163" i="27" s="1"/>
  <c r="O164" i="27"/>
  <c r="L14" i="27"/>
  <c r="K14" i="27" s="1"/>
  <c r="L24" i="27"/>
  <c r="M72" i="27"/>
  <c r="L165" i="27"/>
  <c r="K165" i="27" s="1"/>
  <c r="M164" i="27"/>
  <c r="R115" i="27"/>
  <c r="S114" i="27"/>
  <c r="R114" i="27" s="1"/>
  <c r="V152" i="27"/>
  <c r="U153" i="27"/>
  <c r="AR30" i="27" s="1"/>
  <c r="Q147" i="27"/>
  <c r="N149" i="27"/>
  <c r="Q150" i="27"/>
  <c r="M92" i="21"/>
  <c r="H91" i="21"/>
  <c r="I164" i="22"/>
  <c r="M164" i="21"/>
  <c r="I168" i="22"/>
  <c r="M168" i="21"/>
  <c r="I172" i="22"/>
  <c r="M172" i="21"/>
  <c r="O60" i="27"/>
  <c r="AG60" i="27" s="1"/>
  <c r="N60" i="27"/>
  <c r="L60" i="27" s="1"/>
  <c r="K60" i="27" s="1"/>
  <c r="P90" i="27"/>
  <c r="M92" i="27"/>
  <c r="O92" i="27"/>
  <c r="AG92" i="27" s="1"/>
  <c r="L152" i="27"/>
  <c r="O117" i="27"/>
  <c r="AG117" i="27" s="1"/>
  <c r="M117" i="27"/>
  <c r="P151" i="27"/>
  <c r="Q170" i="27"/>
  <c r="O169" i="27"/>
  <c r="AG169" i="27" s="1"/>
  <c r="N169" i="27"/>
  <c r="H39" i="20"/>
  <c r="H63" i="20"/>
  <c r="H53" i="20" s="1"/>
  <c r="L38" i="21"/>
  <c r="L38" i="22" s="1"/>
  <c r="M44" i="21"/>
  <c r="L30" i="27"/>
  <c r="K30" i="27" s="1"/>
  <c r="L19" i="27"/>
  <c r="K112" i="27"/>
  <c r="AN24" i="27"/>
  <c r="AN23" i="27"/>
  <c r="L65" i="27"/>
  <c r="K65" i="27" s="1"/>
  <c r="I127" i="22"/>
  <c r="L61" i="27"/>
  <c r="K61" i="27" s="1"/>
  <c r="N20" i="27"/>
  <c r="L20" i="27" s="1"/>
  <c r="K20" i="27" s="1"/>
  <c r="AN15" i="27"/>
  <c r="O17" i="27"/>
  <c r="M118" i="27"/>
  <c r="N66" i="27"/>
  <c r="L66" i="27" s="1"/>
  <c r="K66" i="27" s="1"/>
  <c r="U167" i="27"/>
  <c r="S143" i="27"/>
  <c r="N84" i="27"/>
  <c r="L84" i="27" s="1"/>
  <c r="K84" i="27" s="1"/>
  <c r="I31" i="22"/>
  <c r="H114" i="21"/>
  <c r="M114" i="21" s="1"/>
  <c r="H151" i="21"/>
  <c r="M37" i="21"/>
  <c r="AN29" i="27"/>
  <c r="AN171" i="27"/>
  <c r="N89" i="27"/>
  <c r="Q105" i="27"/>
  <c r="U42" i="27"/>
  <c r="O149" i="27"/>
  <c r="AG149" i="27" s="1"/>
  <c r="I32" i="22"/>
  <c r="M32" i="21"/>
  <c r="AP69" i="27"/>
  <c r="AR69" i="27" s="1"/>
  <c r="AQ69" i="27" s="1"/>
  <c r="L149" i="22"/>
  <c r="J42" i="22"/>
  <c r="J41" i="21"/>
  <c r="I42" i="21"/>
  <c r="M69" i="27"/>
  <c r="L71" i="27"/>
  <c r="K71" i="27" s="1"/>
  <c r="T137" i="27"/>
  <c r="R140" i="27"/>
  <c r="O86" i="27"/>
  <c r="AG86" i="27" s="1"/>
  <c r="P85" i="27"/>
  <c r="O85" i="27" s="1"/>
  <c r="AG85" i="27" s="1"/>
  <c r="Q133" i="27"/>
  <c r="O133" i="27" s="1"/>
  <c r="AG133" i="27" s="1"/>
  <c r="L29" i="27"/>
  <c r="K29" i="27" s="1"/>
  <c r="O135" i="27"/>
  <c r="AG135" i="27" s="1"/>
  <c r="L19" i="20"/>
  <c r="H138" i="20"/>
  <c r="H137" i="20" s="1"/>
  <c r="L37" i="21"/>
  <c r="L37" i="22" s="1"/>
  <c r="L39" i="21"/>
  <c r="L39" i="22" s="1"/>
  <c r="M45" i="21"/>
  <c r="H64" i="21"/>
  <c r="H54" i="21" s="1"/>
  <c r="M102" i="21"/>
  <c r="W114" i="27"/>
  <c r="N43" i="27"/>
  <c r="N42" i="27" s="1"/>
  <c r="L42" i="27" s="1"/>
  <c r="M85" i="27"/>
  <c r="L85" i="27" s="1"/>
  <c r="N115" i="27"/>
  <c r="M133" i="27"/>
  <c r="S48" i="27"/>
  <c r="L107" i="27"/>
  <c r="I189" i="21"/>
  <c r="E34" i="19"/>
  <c r="F34" i="19" s="1"/>
  <c r="F16" i="19"/>
  <c r="E17" i="19"/>
  <c r="F17" i="19" s="1"/>
  <c r="M30" i="21"/>
  <c r="I30" i="22"/>
  <c r="L30" i="21"/>
  <c r="L30" i="22" s="1"/>
  <c r="M101" i="21"/>
  <c r="H100" i="21"/>
  <c r="J12" i="22"/>
  <c r="J13" i="22"/>
  <c r="I13" i="21"/>
  <c r="I13" i="22" s="1"/>
  <c r="P49" i="27"/>
  <c r="O51" i="27"/>
  <c r="U69" i="27"/>
  <c r="V68" i="27"/>
  <c r="U68" i="27" s="1"/>
  <c r="M49" i="27"/>
  <c r="L50" i="27"/>
  <c r="K50" i="27" s="1"/>
  <c r="L111" i="27"/>
  <c r="K111" i="27" s="1"/>
  <c r="M110" i="27"/>
  <c r="L110" i="27" s="1"/>
  <c r="K110" i="27" s="1"/>
  <c r="R155" i="27"/>
  <c r="S151" i="27"/>
  <c r="R151" i="27" s="1"/>
  <c r="AN30" i="27"/>
  <c r="P106" i="27"/>
  <c r="O106" i="27" s="1"/>
  <c r="AG106" i="27" s="1"/>
  <c r="L19" i="12"/>
  <c r="M38" i="21"/>
  <c r="L44" i="21"/>
  <c r="L44" i="22" s="1"/>
  <c r="L46" i="21"/>
  <c r="L46" i="22" s="1"/>
  <c r="L36" i="21"/>
  <c r="L36" i="22" s="1"/>
  <c r="K15" i="27"/>
  <c r="Q17" i="27"/>
  <c r="M37" i="27"/>
  <c r="L141" i="27"/>
  <c r="K141" i="27" s="1"/>
  <c r="L33" i="21"/>
  <c r="L33" i="22" s="1"/>
  <c r="I47" i="22"/>
  <c r="I50" i="22"/>
  <c r="I52" i="22"/>
  <c r="I175" i="22"/>
  <c r="M43" i="21"/>
  <c r="M98" i="21"/>
  <c r="AN28" i="27"/>
  <c r="X18" i="27"/>
  <c r="X17" i="27" s="1"/>
  <c r="AM17" i="27" s="1"/>
  <c r="H12" i="21"/>
  <c r="H139" i="22"/>
  <c r="H138" i="22" s="1"/>
  <c r="AM21" i="27"/>
  <c r="AN21" i="27" s="1"/>
  <c r="AM13" i="27"/>
  <c r="AN13" i="27" s="1"/>
  <c r="M33" i="21"/>
  <c r="H35" i="22"/>
  <c r="H34" i="22" s="1"/>
  <c r="H64" i="22"/>
  <c r="H91" i="22"/>
  <c r="H90" i="22" s="1"/>
  <c r="H115" i="22"/>
  <c r="H114" i="22" s="1"/>
  <c r="X133" i="27"/>
  <c r="X129" i="27" s="1"/>
  <c r="AO69" i="27"/>
  <c r="X106" i="27"/>
  <c r="AM191" i="27"/>
  <c r="AN191" i="27" s="1"/>
  <c r="AM19" i="27"/>
  <c r="K19" i="27"/>
  <c r="K22" i="27"/>
  <c r="AM22" i="27"/>
  <c r="AN22" i="27" s="1"/>
  <c r="X114" i="27"/>
  <c r="X118" i="27"/>
  <c r="AM32" i="27"/>
  <c r="AN32" i="27" s="1"/>
  <c r="O155" i="27" l="1"/>
  <c r="AG155" i="27" s="1"/>
  <c r="O119" i="27"/>
  <c r="AG119" i="27" s="1"/>
  <c r="H34" i="21"/>
  <c r="M34" i="21" s="1"/>
  <c r="O37" i="27"/>
  <c r="AG37" i="27" s="1"/>
  <c r="O41" i="27"/>
  <c r="AG41" i="27" s="1"/>
  <c r="N41" i="27"/>
  <c r="L41" i="27" s="1"/>
  <c r="K41" i="27" s="1"/>
  <c r="I115" i="22"/>
  <c r="AU115" i="27"/>
  <c r="AG164" i="27"/>
  <c r="K107" i="27"/>
  <c r="AG163" i="27"/>
  <c r="L124" i="27"/>
  <c r="K124" i="27" s="1"/>
  <c r="W34" i="27"/>
  <c r="I12" i="21"/>
  <c r="I12" i="22" s="1"/>
  <c r="U98" i="27"/>
  <c r="D32" i="35"/>
  <c r="D8" i="35" s="1"/>
  <c r="N113" i="27"/>
  <c r="L113" i="27" s="1"/>
  <c r="K113" i="27" s="1"/>
  <c r="O113" i="27"/>
  <c r="AG113" i="27" s="1"/>
  <c r="M106" i="27"/>
  <c r="L106" i="27" s="1"/>
  <c r="O151" i="27"/>
  <c r="O62" i="27"/>
  <c r="AG62" i="27" s="1"/>
  <c r="AG64" i="27"/>
  <c r="AG132" i="27"/>
  <c r="AG167" i="27"/>
  <c r="AG23" i="27"/>
  <c r="AG124" i="27"/>
  <c r="AG144" i="27"/>
  <c r="AG42" i="27"/>
  <c r="I128" i="22"/>
  <c r="M128" i="21"/>
  <c r="AU36" i="27" s="1"/>
  <c r="O36" i="27"/>
  <c r="AG36" i="27" s="1"/>
  <c r="S34" i="27"/>
  <c r="AG69" i="27"/>
  <c r="AG118" i="27"/>
  <c r="AG93" i="27"/>
  <c r="AG153" i="27"/>
  <c r="AQ52" i="27"/>
  <c r="AR52" i="27" s="1"/>
  <c r="AG52" i="27"/>
  <c r="J11" i="22"/>
  <c r="I11" i="21"/>
  <c r="H40" i="22"/>
  <c r="H54" i="22"/>
  <c r="H87" i="22" s="1"/>
  <c r="D18" i="33"/>
  <c r="D13" i="32"/>
  <c r="D13" i="33" s="1"/>
  <c r="F18" i="32"/>
  <c r="E18" i="32"/>
  <c r="E35" i="23"/>
  <c r="F36" i="23"/>
  <c r="E9" i="36"/>
  <c r="F35" i="23"/>
  <c r="E11" i="23"/>
  <c r="F11" i="23"/>
  <c r="E31" i="25"/>
  <c r="C31" i="25" s="1"/>
  <c r="M32" i="36"/>
  <c r="E34" i="23"/>
  <c r="D28" i="23"/>
  <c r="D29" i="23" s="1"/>
  <c r="E29" i="23" s="1"/>
  <c r="D50" i="36"/>
  <c r="E41" i="23"/>
  <c r="F41" i="23"/>
  <c r="C11" i="25"/>
  <c r="F10" i="23"/>
  <c r="E10" i="23"/>
  <c r="F40" i="23"/>
  <c r="E40" i="23"/>
  <c r="C32" i="36"/>
  <c r="C8" i="36" s="1"/>
  <c r="N32" i="35"/>
  <c r="P8" i="35"/>
  <c r="N8" i="35" s="1"/>
  <c r="C8" i="35"/>
  <c r="H32" i="35"/>
  <c r="H8" i="35" s="1"/>
  <c r="K33" i="27"/>
  <c r="AQ55" i="27"/>
  <c r="AR55" i="27" s="1"/>
  <c r="AG55" i="27"/>
  <c r="N119" i="27"/>
  <c r="L119" i="27" s="1"/>
  <c r="K119" i="27" s="1"/>
  <c r="K32" i="27"/>
  <c r="X34" i="27"/>
  <c r="K192" i="27"/>
  <c r="N133" i="27"/>
  <c r="L133" i="27" s="1"/>
  <c r="K133" i="27" s="1"/>
  <c r="K190" i="27"/>
  <c r="K193" i="27"/>
  <c r="K153" i="27"/>
  <c r="AM18" i="27"/>
  <c r="AN18" i="27" s="1"/>
  <c r="L134" i="27"/>
  <c r="K134" i="27" s="1"/>
  <c r="K171" i="27"/>
  <c r="AP171" i="27" s="1"/>
  <c r="K28" i="27"/>
  <c r="R143" i="27"/>
  <c r="U130" i="27"/>
  <c r="K130" i="27" s="1"/>
  <c r="N137" i="27"/>
  <c r="N129" i="27" s="1"/>
  <c r="Q114" i="27"/>
  <c r="O114" i="27" s="1"/>
  <c r="K144" i="27"/>
  <c r="AN172" i="27"/>
  <c r="P129" i="27"/>
  <c r="O130" i="27"/>
  <c r="AG130" i="27" s="1"/>
  <c r="N128" i="27"/>
  <c r="L128" i="27" s="1"/>
  <c r="K128" i="27" s="1"/>
  <c r="O128" i="27"/>
  <c r="AG128" i="27" s="1"/>
  <c r="AL17" i="27"/>
  <c r="AN17" i="27" s="1"/>
  <c r="V12" i="27"/>
  <c r="V11" i="27" s="1"/>
  <c r="U114" i="27"/>
  <c r="Q48" i="27"/>
  <c r="K132" i="27"/>
  <c r="K93" i="27"/>
  <c r="R68" i="27"/>
  <c r="N62" i="27"/>
  <c r="L62" i="27" s="1"/>
  <c r="K62" i="27" s="1"/>
  <c r="O142" i="27"/>
  <c r="AG142" i="27" s="1"/>
  <c r="N142" i="27"/>
  <c r="L142" i="27" s="1"/>
  <c r="K142" i="27" s="1"/>
  <c r="K27" i="27"/>
  <c r="N23" i="27"/>
  <c r="W18" i="27"/>
  <c r="U18" i="27" s="1"/>
  <c r="R21" i="27"/>
  <c r="R18" i="27" s="1"/>
  <c r="R17" i="27" s="1"/>
  <c r="R12" i="27" s="1"/>
  <c r="R11" i="27" s="1"/>
  <c r="K42" i="27"/>
  <c r="H52" i="20"/>
  <c r="M2" i="20" s="1"/>
  <c r="H86" i="20"/>
  <c r="AR75" i="27"/>
  <c r="AQ75" i="27" s="1"/>
  <c r="H149" i="21"/>
  <c r="M149" i="21" s="1"/>
  <c r="O150" i="27"/>
  <c r="AG150" i="27" s="1"/>
  <c r="N150" i="27"/>
  <c r="L150" i="27" s="1"/>
  <c r="K150" i="27" s="1"/>
  <c r="M11" i="27"/>
  <c r="AR77" i="27"/>
  <c r="AQ77" i="27" s="1"/>
  <c r="L56" i="27"/>
  <c r="K56" i="27" s="1"/>
  <c r="N55" i="27"/>
  <c r="O67" i="27"/>
  <c r="AG67" i="27" s="1"/>
  <c r="N67" i="27"/>
  <c r="L67" i="27" s="1"/>
  <c r="K67" i="27" s="1"/>
  <c r="O42" i="21"/>
  <c r="I42" i="22"/>
  <c r="Q12" i="27"/>
  <c r="N16" i="27"/>
  <c r="O16" i="27"/>
  <c r="I138" i="22"/>
  <c r="M138" i="21"/>
  <c r="S10" i="27"/>
  <c r="R48" i="27"/>
  <c r="K85" i="27"/>
  <c r="T129" i="27"/>
  <c r="T34" i="27" s="1"/>
  <c r="R137" i="27"/>
  <c r="M68" i="27"/>
  <c r="L69" i="27"/>
  <c r="K69" i="27" s="1"/>
  <c r="O147" i="27"/>
  <c r="AG147" i="27" s="1"/>
  <c r="Q143" i="27"/>
  <c r="O143" i="27" s="1"/>
  <c r="AG143" i="27" s="1"/>
  <c r="M163" i="27"/>
  <c r="L164" i="27"/>
  <c r="K164" i="27" s="1"/>
  <c r="K24" i="27"/>
  <c r="L23" i="27"/>
  <c r="I11" i="20"/>
  <c r="J10" i="20"/>
  <c r="I10" i="20" s="1"/>
  <c r="Q98" i="27"/>
  <c r="O102" i="27"/>
  <c r="AG102" i="27" s="1"/>
  <c r="L155" i="27"/>
  <c r="K155" i="27" s="1"/>
  <c r="M151" i="27"/>
  <c r="L151" i="27" s="1"/>
  <c r="P98" i="27"/>
  <c r="O99" i="27"/>
  <c r="AG99" i="27" s="1"/>
  <c r="K106" i="27"/>
  <c r="M129" i="27"/>
  <c r="J41" i="22"/>
  <c r="I41" i="21"/>
  <c r="J10" i="21"/>
  <c r="N105" i="27"/>
  <c r="L105" i="27" s="1"/>
  <c r="K105" i="27" s="1"/>
  <c r="O105" i="27"/>
  <c r="AG105" i="27" s="1"/>
  <c r="L117" i="27"/>
  <c r="K117" i="27" s="1"/>
  <c r="M115" i="27"/>
  <c r="O90" i="27"/>
  <c r="AG90" i="27" s="1"/>
  <c r="P89" i="27"/>
  <c r="O89" i="27" s="1"/>
  <c r="AG89" i="27" s="1"/>
  <c r="H90" i="21"/>
  <c r="M91" i="21"/>
  <c r="V151" i="27"/>
  <c r="U152" i="27"/>
  <c r="O72" i="27"/>
  <c r="AG72" i="27" s="1"/>
  <c r="Q68" i="27"/>
  <c r="N170" i="27"/>
  <c r="L170" i="27" s="1"/>
  <c r="K170" i="27" s="1"/>
  <c r="O170" i="27"/>
  <c r="AG170" i="27" s="1"/>
  <c r="L92" i="27"/>
  <c r="K92" i="27" s="1"/>
  <c r="M90" i="27"/>
  <c r="N21" i="27"/>
  <c r="L100" i="27"/>
  <c r="K100" i="27" s="1"/>
  <c r="M99" i="27"/>
  <c r="M36" i="27"/>
  <c r="L37" i="27"/>
  <c r="K37" i="27" s="1"/>
  <c r="M48" i="27"/>
  <c r="L49" i="27"/>
  <c r="O49" i="27"/>
  <c r="AQ49" i="27" s="1"/>
  <c r="AR49" i="27" s="1"/>
  <c r="P48" i="27"/>
  <c r="P34" i="27" s="1"/>
  <c r="P10" i="27" s="1"/>
  <c r="M100" i="21"/>
  <c r="H53" i="21"/>
  <c r="H87" i="21"/>
  <c r="L169" i="27"/>
  <c r="K169" i="27" s="1"/>
  <c r="N167" i="27"/>
  <c r="N118" i="27"/>
  <c r="N114" i="27" s="1"/>
  <c r="N147" i="27"/>
  <c r="L149" i="27"/>
  <c r="K149" i="27" s="1"/>
  <c r="AR73" i="27"/>
  <c r="N72" i="27"/>
  <c r="L72" i="27" s="1"/>
  <c r="K72" i="27" s="1"/>
  <c r="L74" i="27"/>
  <c r="K74" i="27" s="1"/>
  <c r="L104" i="27"/>
  <c r="K104" i="27" s="1"/>
  <c r="N102" i="27"/>
  <c r="M107" i="21"/>
  <c r="K25" i="27"/>
  <c r="AO52" i="27"/>
  <c r="U51" i="27"/>
  <c r="AG51" i="27" s="1"/>
  <c r="V49" i="27"/>
  <c r="Q198" i="27"/>
  <c r="L43" i="27"/>
  <c r="K43" i="27" s="1"/>
  <c r="L64" i="27"/>
  <c r="K64" i="27" s="1"/>
  <c r="Q129" i="27"/>
  <c r="Q35" i="27"/>
  <c r="M12" i="21"/>
  <c r="H53" i="22"/>
  <c r="M2" i="22" s="1"/>
  <c r="X12" i="27"/>
  <c r="X11" i="27" s="1"/>
  <c r="AN19" i="27"/>
  <c r="H40" i="21" l="1"/>
  <c r="M40" i="21" s="1"/>
  <c r="U151" i="27"/>
  <c r="AG152" i="27"/>
  <c r="U17" i="27"/>
  <c r="AG17" i="27" s="1"/>
  <c r="AG18" i="27"/>
  <c r="AD222" i="27"/>
  <c r="AD223" i="27" s="1"/>
  <c r="AN16" i="27"/>
  <c r="AG16" i="27"/>
  <c r="I11" i="22"/>
  <c r="M11" i="21"/>
  <c r="N11" i="21"/>
  <c r="AG151" i="27"/>
  <c r="Z222" i="27"/>
  <c r="Z223" i="27" s="1"/>
  <c r="G18" i="32"/>
  <c r="F18" i="33"/>
  <c r="F12" i="33" s="1"/>
  <c r="D12" i="32"/>
  <c r="E13" i="32"/>
  <c r="F12" i="32"/>
  <c r="E27" i="25"/>
  <c r="F29" i="23"/>
  <c r="F28" i="23"/>
  <c r="E28" i="23"/>
  <c r="D12" i="33"/>
  <c r="H13" i="33"/>
  <c r="AG114" i="27"/>
  <c r="Q34" i="27"/>
  <c r="L137" i="27"/>
  <c r="K137" i="27" s="1"/>
  <c r="AP190" i="27"/>
  <c r="L129" i="27"/>
  <c r="AP106" i="27"/>
  <c r="AR106" i="27" s="1"/>
  <c r="AQ106" i="27" s="1"/>
  <c r="O129" i="27"/>
  <c r="O98" i="27"/>
  <c r="AG98" i="27" s="1"/>
  <c r="K152" i="27"/>
  <c r="N68" i="27"/>
  <c r="W17" i="27"/>
  <c r="W12" i="27" s="1"/>
  <c r="U12" i="27" s="1"/>
  <c r="T18" i="27"/>
  <c r="T17" i="27" s="1"/>
  <c r="T12" i="27" s="1"/>
  <c r="T11" i="27" s="1"/>
  <c r="T10" i="27" s="1"/>
  <c r="M53" i="21"/>
  <c r="H10" i="21"/>
  <c r="M89" i="27"/>
  <c r="L89" i="27" s="1"/>
  <c r="L90" i="27"/>
  <c r="K90" i="27" s="1"/>
  <c r="AU42" i="27"/>
  <c r="AP42" i="27"/>
  <c r="AR42" i="27" s="1"/>
  <c r="AQ42" i="27" s="1"/>
  <c r="AR74" i="27"/>
  <c r="AQ74" i="27" s="1"/>
  <c r="L147" i="27"/>
  <c r="K147" i="27" s="1"/>
  <c r="N143" i="27"/>
  <c r="L143" i="27" s="1"/>
  <c r="M98" i="27"/>
  <c r="L99" i="27"/>
  <c r="K99" i="27" s="1"/>
  <c r="AU129" i="27"/>
  <c r="N35" i="27"/>
  <c r="L35" i="27" s="1"/>
  <c r="K35" i="27" s="1"/>
  <c r="O35" i="27"/>
  <c r="AG35" i="27" s="1"/>
  <c r="L36" i="27"/>
  <c r="L21" i="27"/>
  <c r="N18" i="27"/>
  <c r="I41" i="22"/>
  <c r="M41" i="21"/>
  <c r="I10" i="21"/>
  <c r="I10" i="22" s="1"/>
  <c r="AP85" i="27"/>
  <c r="AR85" i="27" s="1"/>
  <c r="AQ85" i="27" s="1"/>
  <c r="Q11" i="27"/>
  <c r="O12" i="27"/>
  <c r="R129" i="27"/>
  <c r="R34" i="27" s="1"/>
  <c r="R10" i="27" s="1"/>
  <c r="L118" i="27"/>
  <c r="K118" i="27" s="1"/>
  <c r="O68" i="27"/>
  <c r="V48" i="27"/>
  <c r="V34" i="27" s="1"/>
  <c r="U49" i="27"/>
  <c r="L115" i="27"/>
  <c r="K115" i="27" s="1"/>
  <c r="M114" i="27"/>
  <c r="L114" i="27" s="1"/>
  <c r="K151" i="27"/>
  <c r="AU98" i="27"/>
  <c r="O48" i="27"/>
  <c r="K51" i="27"/>
  <c r="AR31" i="27"/>
  <c r="AR32" i="27" s="1"/>
  <c r="AR34" i="27" s="1"/>
  <c r="AU107" i="27"/>
  <c r="N98" i="27"/>
  <c r="L102" i="27"/>
  <c r="K102" i="27" s="1"/>
  <c r="AQ73" i="27"/>
  <c r="L167" i="27"/>
  <c r="K167" i="27" s="1"/>
  <c r="N163" i="27"/>
  <c r="L163" i="27" s="1"/>
  <c r="AP90" i="27"/>
  <c r="AR90" i="27" s="1"/>
  <c r="AQ90" i="27" s="1"/>
  <c r="M90" i="21"/>
  <c r="N10" i="21"/>
  <c r="J10" i="22"/>
  <c r="L16" i="27"/>
  <c r="N48" i="27"/>
  <c r="L55" i="27"/>
  <c r="K55" i="27" s="1"/>
  <c r="M5" i="22"/>
  <c r="H177" i="22" s="1"/>
  <c r="M5" i="20"/>
  <c r="H176" i="20" s="1"/>
  <c r="H10" i="20" s="1"/>
  <c r="K23" i="27"/>
  <c r="L68" i="27"/>
  <c r="AM34" i="27"/>
  <c r="X10" i="27"/>
  <c r="N34" i="27" l="1"/>
  <c r="AG12" i="27"/>
  <c r="Q10" i="27"/>
  <c r="M34" i="27"/>
  <c r="M10" i="27" s="1"/>
  <c r="E12" i="32"/>
  <c r="G12" i="32"/>
  <c r="G18" i="33"/>
  <c r="G12" i="33" s="1"/>
  <c r="H12" i="33" s="1"/>
  <c r="AQ68" i="27"/>
  <c r="AG68" i="27"/>
  <c r="K129" i="27"/>
  <c r="AP129" i="27" s="1"/>
  <c r="AG129" i="27"/>
  <c r="O34" i="27"/>
  <c r="K49" i="27"/>
  <c r="K48" i="27" s="1"/>
  <c r="AG49" i="27"/>
  <c r="AR68" i="27"/>
  <c r="W11" i="27"/>
  <c r="O10" i="27"/>
  <c r="O11" i="27"/>
  <c r="K68" i="27"/>
  <c r="AU90" i="27"/>
  <c r="K21" i="27"/>
  <c r="K89" i="27"/>
  <c r="L98" i="27"/>
  <c r="K16" i="27"/>
  <c r="U48" i="27"/>
  <c r="K143" i="27"/>
  <c r="K163" i="27"/>
  <c r="AP151" i="27"/>
  <c r="K114" i="27"/>
  <c r="N17" i="27"/>
  <c r="N12" i="27" s="1"/>
  <c r="L18" i="27"/>
  <c r="K36" i="27"/>
  <c r="P26" i="21"/>
  <c r="H10" i="22"/>
  <c r="M10" i="21"/>
  <c r="L48" i="27"/>
  <c r="L34" i="27" l="1"/>
  <c r="H18" i="33"/>
  <c r="AG48" i="27"/>
  <c r="U34" i="27"/>
  <c r="AG34" i="27" s="1"/>
  <c r="U11" i="27"/>
  <c r="AG11" i="27" s="1"/>
  <c r="W10" i="27"/>
  <c r="AL8" i="27" s="1"/>
  <c r="AL7" i="27" s="1"/>
  <c r="AM7" i="27" s="1"/>
  <c r="AQ48" i="27"/>
  <c r="AR48" i="27" s="1"/>
  <c r="AP48" i="27"/>
  <c r="L17" i="27"/>
  <c r="K18" i="27"/>
  <c r="AP114" i="27"/>
  <c r="AP163" i="27"/>
  <c r="K98" i="27"/>
  <c r="K34" i="27" s="1"/>
  <c r="N11" i="27"/>
  <c r="L12" i="27"/>
  <c r="AP89" i="27"/>
  <c r="AP36" i="27"/>
  <c r="AR36" i="27" s="1"/>
  <c r="AQ36" i="27" s="1"/>
  <c r="AP143" i="27"/>
  <c r="V10" i="27"/>
  <c r="AL34" i="27"/>
  <c r="AP68" i="27"/>
  <c r="AS13" i="27" l="1"/>
  <c r="AS15" i="27" s="1"/>
  <c r="AV36" i="27"/>
  <c r="U10" i="27"/>
  <c r="AG10" i="27" s="1"/>
  <c r="AN222" i="27"/>
  <c r="AL12" i="27"/>
  <c r="AN34" i="27"/>
  <c r="K220" i="27"/>
  <c r="K17" i="27"/>
  <c r="K12" i="27" s="1"/>
  <c r="K11" i="27" s="1"/>
  <c r="K10" i="27" s="1"/>
  <c r="S222" i="27"/>
  <c r="S223" i="27" s="1"/>
  <c r="AM35" i="27"/>
  <c r="AM12" i="27" s="1"/>
  <c r="AO32" i="27"/>
  <c r="N10" i="27"/>
  <c r="L10" i="27" s="1"/>
  <c r="L11" i="27"/>
  <c r="AP98" i="27"/>
  <c r="AO35" i="27"/>
  <c r="AS34" i="27"/>
  <c r="AR28" i="27"/>
  <c r="AR29" i="27" s="1"/>
  <c r="AL11" i="27" l="1"/>
  <c r="AR12" i="27"/>
  <c r="AO13" i="27"/>
  <c r="AO9" i="27"/>
  <c r="AP10" i="27"/>
  <c r="AQ35" i="27"/>
  <c r="AN6" i="27"/>
  <c r="AN12" i="27"/>
  <c r="AO10" i="27" l="1"/>
  <c r="AP11" i="27"/>
  <c r="U31" i="36" l="1"/>
  <c r="U30" i="36"/>
  <c r="U29" i="36"/>
  <c r="U28" i="36"/>
  <c r="U27" i="36"/>
  <c r="U25" i="36"/>
  <c r="S9" i="36"/>
  <c r="U9" i="36" l="1"/>
  <c r="U24" i="36"/>
  <c r="U22" i="36"/>
  <c r="U23" i="36"/>
  <c r="U21" i="36"/>
  <c r="U20" i="36"/>
  <c r="U16" i="36"/>
  <c r="U50" i="36"/>
  <c r="U109" i="36"/>
  <c r="U32" i="36"/>
  <c r="U126" i="36"/>
  <c r="U123" i="36"/>
  <c r="U107" i="36"/>
  <c r="U42" i="36"/>
  <c r="U127" i="36"/>
  <c r="U155" i="36"/>
  <c r="U43" i="36"/>
  <c r="U59" i="36"/>
  <c r="U167" i="36"/>
  <c r="U51" i="36"/>
  <c r="U148" i="36"/>
  <c r="U172" i="36"/>
  <c r="U165" i="36"/>
  <c r="U75" i="36"/>
  <c r="U62" i="36"/>
  <c r="U121" i="36"/>
  <c r="U144" i="36"/>
  <c r="U90" i="36"/>
  <c r="U61" i="36"/>
  <c r="U44" i="36"/>
  <c r="U77" i="36"/>
  <c r="U153" i="36"/>
  <c r="U122" i="36"/>
  <c r="U82" i="36"/>
  <c r="U150" i="36"/>
  <c r="U70" i="36"/>
  <c r="U136" i="36"/>
  <c r="U83" i="36"/>
  <c r="U149" i="36"/>
  <c r="U78" i="36"/>
  <c r="U103" i="36"/>
  <c r="U91" i="36"/>
  <c r="U106" i="36"/>
  <c r="U132" i="36"/>
  <c r="U175" i="36"/>
  <c r="U87" i="36"/>
  <c r="U125" i="36"/>
  <c r="U37" i="36"/>
  <c r="U54" i="36"/>
  <c r="U102" i="36"/>
  <c r="U68" i="36"/>
  <c r="U49" i="36"/>
  <c r="U92" i="36"/>
  <c r="U163" i="36"/>
  <c r="U156" i="36"/>
  <c r="U171" i="36"/>
  <c r="U173" i="36"/>
  <c r="U154" i="36"/>
  <c r="U111" i="36"/>
  <c r="U89" i="36"/>
  <c r="U81" i="36"/>
  <c r="U95" i="36"/>
  <c r="U52" i="36"/>
  <c r="U93" i="36"/>
  <c r="U35" i="36"/>
  <c r="U34" i="36"/>
  <c r="U168" i="36"/>
  <c r="U152" i="36"/>
  <c r="U151" i="36"/>
  <c r="U139" i="36"/>
  <c r="U56" i="36"/>
  <c r="U94" i="36"/>
  <c r="U170" i="36"/>
  <c r="U169" i="36"/>
  <c r="U73" i="36"/>
  <c r="U72" i="36"/>
  <c r="U105" i="36"/>
  <c r="U104" i="36"/>
  <c r="U138" i="36"/>
  <c r="U137" i="36"/>
  <c r="U143" i="36"/>
  <c r="U110" i="36"/>
  <c r="U141" i="36"/>
  <c r="U58" i="36"/>
  <c r="U135" i="36"/>
  <c r="U124" i="36"/>
  <c r="U140" i="36"/>
  <c r="U60" i="36"/>
  <c r="U55" i="36"/>
  <c r="U119" i="36"/>
  <c r="U118" i="36"/>
  <c r="U71" i="36"/>
  <c r="U74" i="36"/>
  <c r="U133" i="36"/>
  <c r="U108" i="36"/>
  <c r="U120" i="36"/>
  <c r="U36" i="36"/>
  <c r="U57" i="36"/>
  <c r="U117" i="36"/>
  <c r="U64" i="36"/>
  <c r="U134" i="36"/>
  <c r="U53" i="36"/>
  <c r="U63" i="36"/>
  <c r="U80" i="36"/>
  <c r="U116" i="36"/>
  <c r="U97" i="36"/>
  <c r="U45" i="36"/>
  <c r="U69" i="36"/>
  <c r="U101" i="36"/>
  <c r="U96" i="36"/>
  <c r="U88" i="36"/>
  <c r="U128" i="36"/>
  <c r="U79" i="36"/>
  <c r="U213" i="36"/>
  <c r="U214" i="36"/>
  <c r="S8" i="36"/>
  <c r="U215" i="36"/>
  <c r="F76" i="36"/>
  <c r="E76" i="36" l="1"/>
  <c r="D6" i="36"/>
  <c r="F72" i="36"/>
  <c r="E72" i="36" l="1"/>
  <c r="D32" i="25"/>
  <c r="C33" i="26" s="1"/>
  <c r="D30" i="23" l="1"/>
  <c r="D72" i="36"/>
  <c r="C32" i="25"/>
  <c r="E100" i="36"/>
  <c r="L93" i="36"/>
  <c r="F30" i="23" l="1"/>
  <c r="E30" i="23"/>
  <c r="F93" i="36"/>
  <c r="E93" i="36" s="1"/>
  <c r="L32" i="36"/>
  <c r="D34" i="25" l="1"/>
  <c r="C35" i="26" s="1"/>
  <c r="C28" i="26" s="1"/>
  <c r="F32" i="36"/>
  <c r="D93" i="36"/>
  <c r="D32" i="23"/>
  <c r="D25" i="23" s="1"/>
  <c r="D9" i="23" s="1"/>
  <c r="E32" i="36" l="1"/>
  <c r="E8" i="36" s="1"/>
  <c r="C34" i="25"/>
  <c r="D27" i="25"/>
  <c r="E25" i="23"/>
  <c r="E32" i="23"/>
  <c r="F32" i="23"/>
  <c r="F19" i="32" l="1"/>
  <c r="G19" i="32" s="1"/>
  <c r="G11" i="32" s="1"/>
  <c r="G30" i="32" s="1"/>
  <c r="C27" i="25"/>
  <c r="D19" i="32"/>
  <c r="F25" i="23"/>
  <c r="C24" i="24"/>
  <c r="G19" i="33" l="1"/>
  <c r="D11" i="32"/>
  <c r="F19" i="33"/>
  <c r="D19" i="33"/>
  <c r="D11" i="33" s="1"/>
  <c r="I20" i="32"/>
  <c r="E19" i="32"/>
  <c r="P8" i="36"/>
  <c r="N8" i="36"/>
  <c r="O8" i="36"/>
  <c r="E45" i="25"/>
  <c r="E10" i="25" s="1"/>
  <c r="E9" i="25" s="1"/>
  <c r="C36" i="31" s="1"/>
  <c r="Q8" i="36"/>
  <c r="T194" i="36"/>
  <c r="W194" i="36"/>
  <c r="G24" i="33" l="1"/>
  <c r="G11" i="33" s="1"/>
  <c r="J7" i="33" s="1"/>
  <c r="J7" i="32"/>
  <c r="L31" i="32"/>
  <c r="J30" i="32"/>
  <c r="E11" i="32"/>
  <c r="U194" i="36"/>
  <c r="X194" i="36"/>
  <c r="T8" i="36"/>
  <c r="W8" i="36"/>
  <c r="H19" i="33"/>
  <c r="M8" i="36"/>
  <c r="E47" i="23"/>
  <c r="C28" i="24"/>
  <c r="C22" i="24" s="1"/>
  <c r="L46" i="23"/>
  <c r="F47" i="23"/>
  <c r="G32" i="32" l="1"/>
  <c r="G11" i="25"/>
  <c r="X8" i="36"/>
  <c r="U8" i="36"/>
  <c r="C35" i="31"/>
  <c r="D8" i="23"/>
  <c r="F9" i="23"/>
  <c r="E9" i="23"/>
  <c r="L8" i="36"/>
  <c r="F8" i="36" s="1"/>
  <c r="C21" i="24"/>
  <c r="E8" i="23" l="1"/>
  <c r="F8" i="23"/>
  <c r="J7" i="23"/>
  <c r="J9" i="23" s="1"/>
  <c r="H8" i="23"/>
  <c r="H10" i="23" s="1"/>
  <c r="D45" i="25"/>
  <c r="D10" i="25" l="1"/>
  <c r="D9" i="25" s="1"/>
  <c r="F11" i="25" s="1"/>
  <c r="D8" i="36"/>
  <c r="D7" i="36"/>
  <c r="C46" i="26"/>
  <c r="C10" i="26" s="1"/>
  <c r="C45" i="25"/>
  <c r="D10" i="26" l="1"/>
  <c r="C8" i="26"/>
  <c r="C10" i="25"/>
  <c r="C9" i="25" s="1"/>
  <c r="C20" i="31" l="1"/>
  <c r="G9" i="25"/>
  <c r="E17" i="30" l="1"/>
  <c r="D27" i="32" s="1"/>
  <c r="D30" i="32" s="1"/>
  <c r="D32" i="32" s="1"/>
  <c r="F17" i="34" l="1"/>
  <c r="E17" i="34" s="1"/>
  <c r="Z10" i="29" l="1"/>
  <c r="Y10" i="29"/>
  <c r="X10" i="29"/>
  <c r="W10" i="29"/>
  <c r="V10" i="29"/>
  <c r="U10" i="29"/>
  <c r="T10" i="29"/>
  <c r="R10" i="29"/>
  <c r="Q10" i="29"/>
  <c r="P10" i="29"/>
  <c r="N10" i="29"/>
  <c r="M10" i="29"/>
  <c r="L10" i="29"/>
  <c r="AO18" i="28"/>
  <c r="M28" i="28" s="1"/>
  <c r="AK18" i="28"/>
  <c r="M24" i="28" s="1"/>
  <c r="AG18" i="28"/>
  <c r="M20" i="28" s="1"/>
  <c r="AC18" i="28"/>
  <c r="M16" i="28" s="1"/>
  <c r="Y18" i="28"/>
  <c r="M12" i="28" s="1"/>
  <c r="AF18" i="28" l="1"/>
  <c r="M19" i="28" s="1"/>
  <c r="AJ18" i="28"/>
  <c r="M23" i="28" s="1"/>
  <c r="AB18" i="28"/>
  <c r="M15" i="28" s="1"/>
  <c r="AN18" i="28"/>
  <c r="M27" i="28" s="1"/>
  <c r="AD18" i="28"/>
  <c r="M17" i="28" s="1"/>
  <c r="X18" i="28"/>
  <c r="AL18" i="28"/>
  <c r="M25" i="28" s="1"/>
  <c r="AA18" i="28"/>
  <c r="M14" i="28" s="1"/>
  <c r="AH18" i="28"/>
  <c r="M21" i="28" s="1"/>
  <c r="Y17" i="28"/>
  <c r="R12" i="28" s="1"/>
  <c r="AC17" i="28"/>
  <c r="R16" i="28" s="1"/>
  <c r="AG17" i="28"/>
  <c r="R20" i="28" s="1"/>
  <c r="AK17" i="28"/>
  <c r="R24" i="28" s="1"/>
  <c r="AM18" i="28"/>
  <c r="M26" i="28" s="1"/>
  <c r="K10" i="29"/>
  <c r="O10" i="29"/>
  <c r="S10" i="29"/>
  <c r="AA10" i="29"/>
  <c r="X17" i="28"/>
  <c r="AB17" i="28"/>
  <c r="R15" i="28" s="1"/>
  <c r="AF17" i="28"/>
  <c r="R19" i="28" s="1"/>
  <c r="AJ17" i="28"/>
  <c r="R23" i="28" s="1"/>
  <c r="AN17" i="28"/>
  <c r="R27" i="28" s="1"/>
  <c r="Z18" i="28"/>
  <c r="M13" i="28" s="1"/>
  <c r="AI18" i="28"/>
  <c r="M22" i="28" s="1"/>
  <c r="AE18" i="28"/>
  <c r="M18" i="28" s="1"/>
  <c r="J10" i="29"/>
  <c r="AA17" i="28"/>
  <c r="R14" i="28" s="1"/>
  <c r="AE17" i="28"/>
  <c r="R18" i="28" s="1"/>
  <c r="AM17" i="28"/>
  <c r="R26" i="28" s="1"/>
  <c r="Z17" i="28"/>
  <c r="R13" i="28" s="1"/>
  <c r="AD17" i="28"/>
  <c r="R17" i="28" s="1"/>
  <c r="AH17" i="28"/>
  <c r="R21" i="28" s="1"/>
  <c r="AL17" i="28"/>
  <c r="R25" i="28" s="1"/>
  <c r="Q24" i="28" l="1"/>
  <c r="Q17" i="28"/>
  <c r="Q23" i="28"/>
  <c r="Q12" i="28"/>
  <c r="Q21" i="28"/>
  <c r="Q18" i="28"/>
  <c r="Q27" i="28"/>
  <c r="Q16" i="28"/>
  <c r="Q13" i="28"/>
  <c r="Q19" i="28"/>
  <c r="Q14" i="28"/>
  <c r="Q25" i="28"/>
  <c r="Q26" i="28"/>
  <c r="Q15" i="28"/>
  <c r="Q20" i="28"/>
  <c r="P24" i="28"/>
  <c r="I10" i="29"/>
  <c r="R11" i="28"/>
  <c r="M11" i="28"/>
  <c r="W18" i="28"/>
  <c r="M10" i="28" l="1"/>
  <c r="P16" i="28"/>
  <c r="Q11" i="28"/>
  <c r="P19" i="28"/>
  <c r="P13" i="28" l="1"/>
  <c r="P15" i="28"/>
  <c r="P26" i="28"/>
  <c r="P20" i="28"/>
  <c r="P21" i="28"/>
  <c r="P22" i="28"/>
  <c r="P18" i="28"/>
  <c r="P28" i="28"/>
  <c r="P23" i="28"/>
  <c r="P25" i="28"/>
  <c r="P14" i="28"/>
  <c r="P17" i="28"/>
  <c r="P27" i="28"/>
  <c r="P12" i="28"/>
  <c r="P11" i="28" l="1"/>
  <c r="W16" i="28"/>
  <c r="P10" i="28" l="1"/>
  <c r="I28" i="28" l="1"/>
  <c r="I26" i="28"/>
  <c r="I24" i="28"/>
  <c r="I22" i="28"/>
  <c r="I20" i="28"/>
  <c r="I18" i="28"/>
  <c r="I16" i="28"/>
  <c r="I14" i="28"/>
  <c r="I12" i="28"/>
  <c r="AO17" i="28"/>
  <c r="AI17" i="28"/>
  <c r="R22" i="28" s="1"/>
  <c r="Q22" i="28" l="1"/>
  <c r="H22" i="28"/>
  <c r="I15" i="28"/>
  <c r="I19" i="28"/>
  <c r="I23" i="28"/>
  <c r="I27" i="28"/>
  <c r="I13" i="28"/>
  <c r="I17" i="28"/>
  <c r="I21" i="28"/>
  <c r="I25" i="28"/>
  <c r="H25" i="28"/>
  <c r="J11" i="29"/>
  <c r="J9" i="29" s="1"/>
  <c r="M11" i="29"/>
  <c r="M9" i="29" s="1"/>
  <c r="H15" i="28"/>
  <c r="H14" i="28"/>
  <c r="P11" i="29"/>
  <c r="P9" i="29" s="1"/>
  <c r="H13" i="28"/>
  <c r="R11" i="29"/>
  <c r="R9" i="29" s="1"/>
  <c r="R28" i="28"/>
  <c r="W17" i="28"/>
  <c r="AA11" i="29"/>
  <c r="AA9" i="29" s="1"/>
  <c r="Q11" i="29"/>
  <c r="Q9" i="29" s="1"/>
  <c r="N11" i="29"/>
  <c r="N9" i="29" s="1"/>
  <c r="W11" i="29"/>
  <c r="W9" i="29" s="1"/>
  <c r="S11" i="29"/>
  <c r="S9" i="29" s="1"/>
  <c r="Y11" i="29"/>
  <c r="Y9" i="29" s="1"/>
  <c r="O11" i="29"/>
  <c r="O9" i="29" s="1"/>
  <c r="H18" i="28"/>
  <c r="H27" i="28"/>
  <c r="H17" i="28"/>
  <c r="H21" i="28"/>
  <c r="H26" i="28"/>
  <c r="H12" i="28"/>
  <c r="H16" i="28"/>
  <c r="H20" i="28"/>
  <c r="H19" i="28"/>
  <c r="E15" i="28" l="1"/>
  <c r="E20" i="28"/>
  <c r="E12" i="28"/>
  <c r="E14" i="28"/>
  <c r="E18" i="28"/>
  <c r="E16" i="28"/>
  <c r="E26" i="28"/>
  <c r="E22" i="28"/>
  <c r="E19" i="28"/>
  <c r="E17" i="28"/>
  <c r="L11" i="29"/>
  <c r="L9" i="29" s="1"/>
  <c r="Z11" i="29"/>
  <c r="Z9" i="29" s="1"/>
  <c r="E27" i="28"/>
  <c r="E21" i="28"/>
  <c r="D9" i="29"/>
  <c r="U11" i="29"/>
  <c r="U9" i="29" s="1"/>
  <c r="D20" i="29" s="1"/>
  <c r="X11" i="29"/>
  <c r="X9" i="29" s="1"/>
  <c r="D23" i="29" s="1"/>
  <c r="T11" i="29"/>
  <c r="T9" i="29" s="1"/>
  <c r="E13" i="28"/>
  <c r="E25" i="28"/>
  <c r="Q28" i="28"/>
  <c r="R10" i="28"/>
  <c r="K11" i="29"/>
  <c r="K9" i="29" s="1"/>
  <c r="D10" i="29" s="1"/>
  <c r="D15" i="29"/>
  <c r="D26" i="29"/>
  <c r="D24" i="29"/>
  <c r="D18" i="29"/>
  <c r="D22" i="29"/>
  <c r="D12" i="29"/>
  <c r="D14" i="29"/>
  <c r="D16" i="29"/>
  <c r="D13" i="29"/>
  <c r="D17" i="29"/>
  <c r="Q10" i="28" l="1"/>
  <c r="D11" i="29"/>
  <c r="D25" i="29"/>
  <c r="D19" i="29"/>
  <c r="W11" i="28"/>
  <c r="I11" i="28"/>
  <c r="H24" i="28"/>
  <c r="H11" i="28"/>
  <c r="H28" i="28"/>
  <c r="H23" i="28"/>
  <c r="W10" i="28"/>
  <c r="I10" i="28" l="1"/>
  <c r="E28" i="28"/>
  <c r="E24" i="28"/>
  <c r="E11" i="28"/>
  <c r="H10" i="28"/>
  <c r="E23" i="28"/>
  <c r="V11" i="29"/>
  <c r="E10" i="28" l="1"/>
  <c r="V9" i="29"/>
  <c r="I11" i="29"/>
  <c r="D21" i="29" l="1"/>
  <c r="I9" i="29"/>
  <c r="D8" i="29" l="1"/>
  <c r="F11" i="32" l="1"/>
  <c r="I7" i="32" l="1"/>
  <c r="F30" i="32"/>
  <c r="K31" i="32" l="1"/>
  <c r="F32" i="32"/>
  <c r="H24" i="33" l="1"/>
  <c r="F11" i="33"/>
  <c r="H11" i="33" l="1"/>
  <c r="I7" i="33"/>
  <c r="V8" i="29" l="1"/>
  <c r="K8" i="29"/>
  <c r="O8" i="29" l="1"/>
  <c r="U8" i="29"/>
  <c r="S8" i="29"/>
  <c r="V7" i="29"/>
  <c r="E21" i="29"/>
  <c r="K7" i="29"/>
  <c r="E10" i="29"/>
  <c r="M8" i="29"/>
  <c r="R8" i="29" l="1"/>
  <c r="L8" i="29"/>
  <c r="S7" i="29"/>
  <c r="E18" i="29"/>
  <c r="C10" i="29"/>
  <c r="N8" i="29"/>
  <c r="E12" i="29"/>
  <c r="M7" i="29"/>
  <c r="Q8" i="29"/>
  <c r="C21" i="29"/>
  <c r="X8" i="29"/>
  <c r="Y8" i="29"/>
  <c r="P8" i="29"/>
  <c r="U7" i="29"/>
  <c r="E20" i="29"/>
  <c r="AI15" i="28"/>
  <c r="O22" i="28" s="1"/>
  <c r="E14" i="29"/>
  <c r="O7" i="29"/>
  <c r="Z8" i="29" l="1"/>
  <c r="R7" i="29"/>
  <c r="E17" i="29"/>
  <c r="T8" i="29"/>
  <c r="C14" i="29"/>
  <c r="P7" i="29"/>
  <c r="E15" i="29"/>
  <c r="AI14" i="28"/>
  <c r="L22" i="28" s="1"/>
  <c r="C18" i="29"/>
  <c r="AA8" i="29"/>
  <c r="X7" i="29"/>
  <c r="E23" i="29"/>
  <c r="C12" i="29"/>
  <c r="W8" i="29"/>
  <c r="N7" i="29"/>
  <c r="E13" i="29"/>
  <c r="AC14" i="28"/>
  <c r="L16" i="28" s="1"/>
  <c r="C20" i="29"/>
  <c r="Y7" i="29"/>
  <c r="E24" i="29"/>
  <c r="AE15" i="28"/>
  <c r="O18" i="28" s="1"/>
  <c r="E16" i="29"/>
  <c r="Q7" i="29"/>
  <c r="L7" i="29"/>
  <c r="E11" i="29"/>
  <c r="AF15" i="28"/>
  <c r="O19" i="28" s="1"/>
  <c r="T7" i="29" l="1"/>
  <c r="E19" i="29"/>
  <c r="Z7" i="29"/>
  <c r="E25" i="29"/>
  <c r="C17" i="29"/>
  <c r="C11" i="29"/>
  <c r="C16" i="29"/>
  <c r="AI13" i="28"/>
  <c r="AG15" i="28"/>
  <c r="O20" i="28" s="1"/>
  <c r="Z15" i="28"/>
  <c r="O13" i="28" s="1"/>
  <c r="C23" i="29"/>
  <c r="AA14" i="28"/>
  <c r="L14" i="28" s="1"/>
  <c r="AM15" i="28"/>
  <c r="O26" i="28" s="1"/>
  <c r="AC13" i="28"/>
  <c r="AG14" i="28"/>
  <c r="L20" i="28" s="1"/>
  <c r="C13" i="29"/>
  <c r="AJ14" i="28"/>
  <c r="L23" i="28" s="1"/>
  <c r="C24" i="29"/>
  <c r="J8" i="29"/>
  <c r="AH15" i="28"/>
  <c r="O21" i="28" s="1"/>
  <c r="AJ15" i="28"/>
  <c r="O23" i="28" s="1"/>
  <c r="AB15" i="28"/>
  <c r="O15" i="28" s="1"/>
  <c r="AI20" i="28"/>
  <c r="W7" i="29"/>
  <c r="E22" i="29"/>
  <c r="AA7" i="29"/>
  <c r="E26" i="29"/>
  <c r="AF14" i="28"/>
  <c r="L19" i="28" s="1"/>
  <c r="C15" i="29"/>
  <c r="C19" i="29" l="1"/>
  <c r="AD15" i="28"/>
  <c r="O17" i="28" s="1"/>
  <c r="C25" i="29"/>
  <c r="C26" i="29"/>
  <c r="AG13" i="28"/>
  <c r="AE14" i="28"/>
  <c r="L18" i="28" s="1"/>
  <c r="K16" i="28"/>
  <c r="AO15" i="28"/>
  <c r="O28" i="28" s="1"/>
  <c r="AJ13" i="28"/>
  <c r="AG20" i="28"/>
  <c r="AF13" i="28"/>
  <c r="AI19" i="28"/>
  <c r="AI21" i="28" s="1"/>
  <c r="K22" i="28"/>
  <c r="C22" i="29"/>
  <c r="AD14" i="28"/>
  <c r="L17" i="28" s="1"/>
  <c r="AB14" i="28"/>
  <c r="L15" i="28" s="1"/>
  <c r="I8" i="29"/>
  <c r="I7" i="29" s="1"/>
  <c r="J7" i="29"/>
  <c r="E9" i="29"/>
  <c r="AM14" i="28"/>
  <c r="L26" i="28" s="1"/>
  <c r="AF20" i="28"/>
  <c r="Z14" i="28"/>
  <c r="L13" i="28" s="1"/>
  <c r="AJ20" i="28"/>
  <c r="AL15" i="28"/>
  <c r="O25" i="28" s="1"/>
  <c r="AL14" i="28"/>
  <c r="L25" i="28" s="1"/>
  <c r="AH14" i="28"/>
  <c r="L21" i="28" s="1"/>
  <c r="AC15" i="28" l="1"/>
  <c r="AN15" i="28"/>
  <c r="O27" i="28" s="1"/>
  <c r="AN14" i="28"/>
  <c r="L27" i="28" s="1"/>
  <c r="AE20" i="28"/>
  <c r="AE13" i="28"/>
  <c r="AA13" i="28"/>
  <c r="AB20" i="28"/>
  <c r="AA15" i="28"/>
  <c r="O14" i="28" s="1"/>
  <c r="AH20" i="28"/>
  <c r="AL13" i="28"/>
  <c r="AM13" i="28"/>
  <c r="AD20" i="28"/>
  <c r="C9" i="29"/>
  <c r="E8" i="29"/>
  <c r="C23" i="31"/>
  <c r="AF19" i="28"/>
  <c r="AF21" i="28" s="1"/>
  <c r="K19" i="28"/>
  <c r="Y14" i="28"/>
  <c r="L12" i="28" s="1"/>
  <c r="AL20" i="28"/>
  <c r="AM20" i="28"/>
  <c r="K20" i="28"/>
  <c r="AG19" i="28"/>
  <c r="AG21" i="28" s="1"/>
  <c r="Z20" i="28"/>
  <c r="AB13" i="28"/>
  <c r="D22" i="28"/>
  <c r="AK15" i="28"/>
  <c r="O24" i="28" s="1"/>
  <c r="Z13" i="28"/>
  <c r="AO14" i="28"/>
  <c r="L28" i="28" s="1"/>
  <c r="AD13" i="28"/>
  <c r="AK14" i="28"/>
  <c r="L24" i="28" s="1"/>
  <c r="AH13" i="28"/>
  <c r="K23" i="28"/>
  <c r="AJ19" i="28"/>
  <c r="AJ21" i="28" s="1"/>
  <c r="AN13" i="28" l="1"/>
  <c r="AN20" i="28"/>
  <c r="O16" i="28"/>
  <c r="AC19" i="28"/>
  <c r="AC20" i="28"/>
  <c r="AO13" i="28"/>
  <c r="AA20" i="28"/>
  <c r="K13" i="28"/>
  <c r="Z19" i="28"/>
  <c r="Z21" i="28" s="1"/>
  <c r="C22" i="28"/>
  <c r="K25" i="28"/>
  <c r="AL19" i="28"/>
  <c r="AL21" i="28" s="1"/>
  <c r="X14" i="28"/>
  <c r="AE19" i="28"/>
  <c r="AE21" i="28" s="1"/>
  <c r="K18" i="28"/>
  <c r="AH19" i="28"/>
  <c r="AH21" i="28" s="1"/>
  <c r="K21" i="28"/>
  <c r="AD19" i="28"/>
  <c r="AD21" i="28" s="1"/>
  <c r="K17" i="28"/>
  <c r="AO20" i="28"/>
  <c r="AB19" i="28"/>
  <c r="AB21" i="28" s="1"/>
  <c r="K15" i="28"/>
  <c r="D20" i="28"/>
  <c r="K26" i="28"/>
  <c r="AM19" i="28"/>
  <c r="AM21" i="28" s="1"/>
  <c r="AK20" i="28"/>
  <c r="D23" i="28"/>
  <c r="Y15" i="28"/>
  <c r="O12" i="28" s="1"/>
  <c r="D19" i="28"/>
  <c r="C21" i="31"/>
  <c r="C32" i="31"/>
  <c r="E20" i="30"/>
  <c r="C8" i="29"/>
  <c r="AK13" i="28"/>
  <c r="K14" i="28"/>
  <c r="AA19" i="28"/>
  <c r="AA21" i="28" l="1"/>
  <c r="D16" i="28"/>
  <c r="AC21" i="28"/>
  <c r="AN19" i="28"/>
  <c r="AN21" i="28" s="1"/>
  <c r="K27" i="28"/>
  <c r="C19" i="31"/>
  <c r="D26" i="28"/>
  <c r="D21" i="28"/>
  <c r="Y13" i="28"/>
  <c r="AO19" i="28"/>
  <c r="AO21" i="28" s="1"/>
  <c r="K28" i="28"/>
  <c r="K24" i="28"/>
  <c r="AK19" i="28"/>
  <c r="AK21" i="28" s="1"/>
  <c r="C30" i="31"/>
  <c r="D25" i="28"/>
  <c r="F20" i="30"/>
  <c r="E18" i="30"/>
  <c r="E28" i="30"/>
  <c r="D10" i="32"/>
  <c r="F20" i="34"/>
  <c r="C23" i="28"/>
  <c r="C20" i="28"/>
  <c r="D17" i="28"/>
  <c r="D18" i="28"/>
  <c r="D14" i="28"/>
  <c r="C19" i="28"/>
  <c r="D15" i="28"/>
  <c r="Y20" i="28"/>
  <c r="W14" i="28"/>
  <c r="L11" i="28"/>
  <c r="D13" i="28"/>
  <c r="E16" i="30" l="1"/>
  <c r="E26" i="30"/>
  <c r="D27" i="28"/>
  <c r="C16" i="28"/>
  <c r="C14" i="28"/>
  <c r="L10" i="28"/>
  <c r="C15" i="28"/>
  <c r="D28" i="28"/>
  <c r="D24" i="28"/>
  <c r="Y19" i="28"/>
  <c r="Y21" i="28" s="1"/>
  <c r="K12" i="28"/>
  <c r="C26" i="28"/>
  <c r="C18" i="28"/>
  <c r="C17" i="28"/>
  <c r="D10" i="33"/>
  <c r="E10" i="32"/>
  <c r="D8" i="32"/>
  <c r="X15" i="28"/>
  <c r="C25" i="31"/>
  <c r="C13" i="28"/>
  <c r="F28" i="34"/>
  <c r="F18" i="34"/>
  <c r="F28" i="30"/>
  <c r="G20" i="34"/>
  <c r="F18" i="30"/>
  <c r="F10" i="32"/>
  <c r="G20" i="30"/>
  <c r="C25" i="28"/>
  <c r="C27" i="31"/>
  <c r="C21" i="28"/>
  <c r="E22" i="30" l="1"/>
  <c r="F26" i="30"/>
  <c r="F16" i="30"/>
  <c r="F22" i="30" s="1"/>
  <c r="E24" i="30"/>
  <c r="C27" i="28"/>
  <c r="F10" i="33"/>
  <c r="F8" i="33" s="1"/>
  <c r="F7" i="33" s="1"/>
  <c r="I4" i="33" s="1"/>
  <c r="F8" i="32"/>
  <c r="G28" i="30"/>
  <c r="G18" i="30"/>
  <c r="H20" i="34"/>
  <c r="G10" i="32"/>
  <c r="C24" i="28"/>
  <c r="G28" i="34"/>
  <c r="G26" i="34" s="1"/>
  <c r="G24" i="34" s="1"/>
  <c r="G31" i="34" s="1"/>
  <c r="G18" i="34"/>
  <c r="G16" i="34" s="1"/>
  <c r="F26" i="34"/>
  <c r="D7" i="32"/>
  <c r="E8" i="32"/>
  <c r="C28" i="28"/>
  <c r="F16" i="34"/>
  <c r="W15" i="28"/>
  <c r="O11" i="28"/>
  <c r="E10" i="33"/>
  <c r="D8" i="33"/>
  <c r="D12" i="28"/>
  <c r="E31" i="30" l="1"/>
  <c r="F24" i="30"/>
  <c r="G8" i="32"/>
  <c r="I17" i="30"/>
  <c r="G26" i="30"/>
  <c r="G16" i="30"/>
  <c r="J17" i="30" s="1"/>
  <c r="F7" i="32"/>
  <c r="C12" i="28"/>
  <c r="G38" i="34"/>
  <c r="J8" i="34"/>
  <c r="F38" i="32"/>
  <c r="J17" i="34"/>
  <c r="I8" i="33"/>
  <c r="G22" i="34"/>
  <c r="F22" i="34"/>
  <c r="X13" i="28"/>
  <c r="J3" i="32"/>
  <c r="E7" i="32"/>
  <c r="D38" i="32"/>
  <c r="J9" i="30"/>
  <c r="F24" i="34"/>
  <c r="H18" i="34"/>
  <c r="H16" i="34" s="1"/>
  <c r="E16" i="34" s="1"/>
  <c r="G10" i="33"/>
  <c r="H28" i="34"/>
  <c r="H26" i="34" s="1"/>
  <c r="H24" i="34" s="1"/>
  <c r="H31" i="34" s="1"/>
  <c r="E20" i="34"/>
  <c r="K23" i="30"/>
  <c r="I23" i="30"/>
  <c r="X20" i="28"/>
  <c r="W20" i="28" s="1"/>
  <c r="D7" i="33"/>
  <c r="O10" i="28"/>
  <c r="E18" i="34" l="1"/>
  <c r="G24" i="30"/>
  <c r="F31" i="30"/>
  <c r="G7" i="32"/>
  <c r="G22" i="30"/>
  <c r="L23" i="30" s="1"/>
  <c r="I4" i="32"/>
  <c r="E38" i="30"/>
  <c r="D28" i="32"/>
  <c r="D29" i="32" s="1"/>
  <c r="D33" i="32" s="1"/>
  <c r="K8" i="34"/>
  <c r="H38" i="34"/>
  <c r="M22" i="34"/>
  <c r="J3" i="33"/>
  <c r="H22" i="34"/>
  <c r="K17" i="34"/>
  <c r="F31" i="34"/>
  <c r="E24" i="34"/>
  <c r="M8" i="34"/>
  <c r="K10" i="34"/>
  <c r="G8" i="33"/>
  <c r="H10" i="33"/>
  <c r="E28" i="34"/>
  <c r="E26" i="34"/>
  <c r="W13" i="28"/>
  <c r="W19" i="28" s="1"/>
  <c r="X19" i="28"/>
  <c r="X21" i="28" s="1"/>
  <c r="W21" i="28" s="1"/>
  <c r="K11" i="28"/>
  <c r="F38" i="30" l="1"/>
  <c r="F40" i="30"/>
  <c r="F41" i="30" s="1"/>
  <c r="F42" i="30" s="1"/>
  <c r="F28" i="32"/>
  <c r="F29" i="32" s="1"/>
  <c r="F33" i="32" s="1"/>
  <c r="F34" i="32" s="1"/>
  <c r="K7" i="32"/>
  <c r="G38" i="32"/>
  <c r="J4" i="32"/>
  <c r="J16" i="30"/>
  <c r="G31" i="30"/>
  <c r="J23" i="30"/>
  <c r="K16" i="34"/>
  <c r="D11" i="28"/>
  <c r="K10" i="28"/>
  <c r="G7" i="33"/>
  <c r="H8" i="33"/>
  <c r="F38" i="34"/>
  <c r="E31" i="34"/>
  <c r="E38" i="34" s="1"/>
  <c r="E22" i="34"/>
  <c r="N8" i="34"/>
  <c r="L10" i="34"/>
  <c r="G28" i="32" l="1"/>
  <c r="G29" i="32" s="1"/>
  <c r="G33" i="32" s="1"/>
  <c r="G34" i="32" s="1"/>
  <c r="G40" i="30"/>
  <c r="G41" i="30" s="1"/>
  <c r="G42" i="30" s="1"/>
  <c r="G38" i="30"/>
  <c r="D10" i="28"/>
  <c r="C11" i="28"/>
  <c r="K7" i="33"/>
  <c r="J4" i="33"/>
  <c r="H7" i="33"/>
  <c r="J8" i="33"/>
  <c r="C10" i="28" l="1"/>
</calcChain>
</file>

<file path=xl/comments1.xml><?xml version="1.0" encoding="utf-8"?>
<comments xmlns="http://schemas.openxmlformats.org/spreadsheetml/2006/main">
  <authors>
    <author xml:space="preserve"> </author>
  </authors>
  <commentList>
    <comment ref="G9" authorId="0" shapeId="0">
      <text>
        <r>
          <rPr>
            <b/>
            <sz val="8"/>
            <color indexed="81"/>
            <rFont val="Tahoma"/>
            <family val="2"/>
          </rPr>
          <t xml:space="preserve"> </t>
        </r>
        <r>
          <rPr>
            <b/>
            <sz val="14"/>
            <color indexed="81"/>
            <rFont val="Times New Roman"/>
            <family val="1"/>
          </rPr>
          <t xml:space="preserve">cộng lĩnh vực giáo dục - đào tạo trong cân đối + học phí, tiết kiệm lĩnh vực giáo dục + bổ sung tăng thêm lĩnh vực giáo dục
</t>
        </r>
      </text>
    </comment>
  </commentList>
</comments>
</file>

<file path=xl/comments2.xml><?xml version="1.0" encoding="utf-8"?>
<comments xmlns="http://schemas.openxmlformats.org/spreadsheetml/2006/main">
  <authors>
    <author>nguyentrongquy</author>
  </authors>
  <commentList>
    <comment ref="B70" authorId="0" shapeId="0">
      <text>
        <r>
          <rPr>
            <b/>
            <sz val="9"/>
            <color indexed="81"/>
            <rFont val="Tahoma"/>
            <family val="2"/>
          </rPr>
          <t>nguyentrongquy:</t>
        </r>
        <r>
          <rPr>
            <sz val="9"/>
            <color indexed="81"/>
            <rFont val="Tahoma"/>
            <family val="2"/>
          </rPr>
          <t xml:space="preserve">
Thu lợi tức sau thuế từ Yến sào</t>
        </r>
      </text>
    </comment>
  </commentList>
</comments>
</file>

<file path=xl/comments3.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4.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5.xml><?xml version="1.0" encoding="utf-8"?>
<comments xmlns="http://schemas.openxmlformats.org/spreadsheetml/2006/main">
  <authors>
    <author>Admin</author>
  </authors>
  <commentList>
    <comment ref="P22"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Q140" authorId="0" shapeId="0">
      <text>
        <r>
          <rPr>
            <b/>
            <sz val="9"/>
            <color indexed="81"/>
            <rFont val="Tahoma"/>
            <family val="2"/>
          </rPr>
          <t>Admin:</t>
        </r>
        <r>
          <rPr>
            <sz val="9"/>
            <color indexed="81"/>
            <rFont val="Tahoma"/>
            <family val="2"/>
          </rPr>
          <t xml:space="preserve">
giảm 15 tỷ cho Quỹ</t>
        </r>
      </text>
    </comment>
    <comment ref="P153" authorId="0" shapeId="0">
      <text>
        <r>
          <rPr>
            <b/>
            <sz val="9"/>
            <color indexed="81"/>
            <rFont val="Tahoma"/>
            <family val="2"/>
          </rPr>
          <t>Admin:</t>
        </r>
        <r>
          <rPr>
            <sz val="9"/>
            <color indexed="81"/>
            <rFont val="Tahoma"/>
            <family val="2"/>
          </rPr>
          <t xml:space="preserve">
ngày 13/12 thêm thanh tra GTT 400tr, KHCN 171tr</t>
        </r>
      </text>
    </comment>
    <comment ref="O162" authorId="0" shapeId="0">
      <text>
        <r>
          <rPr>
            <b/>
            <sz val="9"/>
            <color indexed="81"/>
            <rFont val="Tahoma"/>
            <family val="2"/>
          </rPr>
          <t>Admin:</t>
        </r>
        <r>
          <rPr>
            <sz val="9"/>
            <color indexed="81"/>
            <rFont val="Tahoma"/>
            <family val="2"/>
          </rPr>
          <t xml:space="preserve">
Báo Quảng Nam</t>
        </r>
      </text>
    </comment>
  </commentList>
</comments>
</file>

<file path=xl/comments6.xml><?xml version="1.0" encoding="utf-8"?>
<comments xmlns="http://schemas.openxmlformats.org/spreadsheetml/2006/main">
  <authors>
    <author>Admin</author>
  </authors>
  <commentList>
    <comment ref="F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AN50" authorId="0" shapeId="0">
      <text>
        <r>
          <rPr>
            <b/>
            <sz val="9"/>
            <color indexed="81"/>
            <rFont val="Tahoma"/>
            <family val="2"/>
          </rPr>
          <t>Admin:</t>
        </r>
        <r>
          <rPr>
            <sz val="9"/>
            <color indexed="81"/>
            <rFont val="Tahoma"/>
            <family val="2"/>
          </rPr>
          <t xml:space="preserve">
</t>
        </r>
      </text>
    </comment>
    <comment ref="P53" authorId="0" shapeId="0">
      <text>
        <r>
          <rPr>
            <b/>
            <sz val="9"/>
            <color indexed="81"/>
            <rFont val="Tahoma"/>
            <family val="2"/>
          </rPr>
          <t>Admin:</t>
        </r>
        <r>
          <rPr>
            <sz val="9"/>
            <color indexed="81"/>
            <rFont val="Tahoma"/>
            <family val="2"/>
          </rPr>
          <t xml:space="preserve">
QĐ 124 số tiền 230tr</t>
        </r>
      </text>
    </comment>
    <comment ref="P55" authorId="0" shapeId="0">
      <text>
        <r>
          <rPr>
            <b/>
            <sz val="9"/>
            <color indexed="81"/>
            <rFont val="Tahoma"/>
            <family val="2"/>
          </rPr>
          <t>Admin:</t>
        </r>
        <r>
          <rPr>
            <sz val="9"/>
            <color indexed="81"/>
            <rFont val="Tahoma"/>
            <family val="2"/>
          </rPr>
          <t xml:space="preserve">
Nội trú 381tr,</t>
        </r>
      </text>
    </comment>
    <comment ref="P56" authorId="0" shapeId="0">
      <text>
        <r>
          <rPr>
            <b/>
            <sz val="9"/>
            <color indexed="81"/>
            <rFont val="Tahoma"/>
            <family val="2"/>
          </rPr>
          <t>Admin:</t>
        </r>
        <r>
          <rPr>
            <sz val="9"/>
            <color indexed="81"/>
            <rFont val="Tahoma"/>
            <family val="2"/>
          </rPr>
          <t xml:space="preserve">
Bán trú 1487tr</t>
        </r>
      </text>
    </comment>
    <comment ref="P64" authorId="0" shapeId="0">
      <text>
        <r>
          <rPr>
            <b/>
            <sz val="9"/>
            <color indexed="81"/>
            <rFont val="Tahoma"/>
            <family val="2"/>
          </rPr>
          <t>Admin:</t>
        </r>
        <r>
          <rPr>
            <sz val="9"/>
            <color indexed="81"/>
            <rFont val="Tahoma"/>
            <family val="2"/>
          </rPr>
          <t xml:space="preserve">
NQ 13</t>
        </r>
      </text>
    </comment>
    <comment ref="P95" authorId="0" shapeId="0">
      <text>
        <r>
          <rPr>
            <b/>
            <sz val="9"/>
            <color indexed="81"/>
            <rFont val="Tahoma"/>
            <family val="2"/>
          </rPr>
          <t>Admin:</t>
        </r>
        <r>
          <rPr>
            <sz val="9"/>
            <color indexed="81"/>
            <rFont val="Tahoma"/>
            <family val="2"/>
          </rPr>
          <t xml:space="preserve">
NQ cộng tác viên gia đình</t>
        </r>
      </text>
    </comment>
    <comment ref="AN121" authorId="0" shapeId="0">
      <text>
        <r>
          <rPr>
            <b/>
            <sz val="9"/>
            <color indexed="81"/>
            <rFont val="Tahoma"/>
            <family val="2"/>
          </rPr>
          <t>Admin:</t>
        </r>
        <r>
          <rPr>
            <sz val="9"/>
            <color indexed="81"/>
            <rFont val="Tahoma"/>
            <family val="2"/>
          </rPr>
          <t xml:space="preserve">
94402</t>
        </r>
      </text>
    </comment>
    <comment ref="AN134" authorId="0" shapeId="0">
      <text>
        <r>
          <rPr>
            <b/>
            <sz val="9"/>
            <color indexed="81"/>
            <rFont val="Tahoma"/>
            <family val="2"/>
          </rPr>
          <t>Admin:</t>
        </r>
        <r>
          <rPr>
            <sz val="9"/>
            <color indexed="81"/>
            <rFont val="Tahoma"/>
            <family val="2"/>
          </rPr>
          <t xml:space="preserve">
19881</t>
        </r>
      </text>
    </comment>
    <comment ref="P138" authorId="0" shapeId="0">
      <text>
        <r>
          <rPr>
            <b/>
            <sz val="9"/>
            <color indexed="81"/>
            <rFont val="Tahoma"/>
            <family val="2"/>
          </rPr>
          <t>Admin:</t>
        </r>
        <r>
          <rPr>
            <sz val="9"/>
            <color indexed="81"/>
            <rFont val="Tahoma"/>
            <family val="2"/>
          </rPr>
          <t xml:space="preserve">
Trunfg tu 222tr, Nghị định 30/2010/NĐ-CP 5584tr; TW hỗ trợ lũ lụt 67tr; Cây ngã đổ 796tr.
</t>
        </r>
      </text>
    </comment>
    <comment ref="G143" authorId="0" shapeId="0">
      <text>
        <r>
          <rPr>
            <b/>
            <sz val="9"/>
            <color indexed="81"/>
            <rFont val="Tahoma"/>
            <family val="2"/>
          </rPr>
          <t>Admin:</t>
        </r>
        <r>
          <rPr>
            <sz val="9"/>
            <color indexed="81"/>
            <rFont val="Tahoma"/>
            <family val="2"/>
          </rPr>
          <t xml:space="preserve">
giảm 15 tỷ cho Quỹ</t>
        </r>
      </text>
    </comment>
    <comment ref="F156" authorId="0" shapeId="0">
      <text>
        <r>
          <rPr>
            <b/>
            <sz val="9"/>
            <color indexed="81"/>
            <rFont val="Tahoma"/>
            <family val="2"/>
          </rPr>
          <t>Admin:</t>
        </r>
        <r>
          <rPr>
            <sz val="9"/>
            <color indexed="81"/>
            <rFont val="Tahoma"/>
            <family val="2"/>
          </rPr>
          <t xml:space="preserve">
ngày 13/12 thêm thanh tra GTT 400tr, KHCN 171tr</t>
        </r>
      </text>
    </comment>
    <comment ref="E165" authorId="0" shapeId="0">
      <text>
        <r>
          <rPr>
            <b/>
            <sz val="9"/>
            <color indexed="81"/>
            <rFont val="Tahoma"/>
            <family val="2"/>
          </rPr>
          <t>Admin:</t>
        </r>
        <r>
          <rPr>
            <sz val="9"/>
            <color indexed="81"/>
            <rFont val="Tahoma"/>
            <family val="2"/>
          </rPr>
          <t xml:space="preserve">
Báo Quảng Nam</t>
        </r>
      </text>
    </comment>
  </commentList>
</comments>
</file>

<file path=xl/comments7.xml><?xml version="1.0" encoding="utf-8"?>
<comments xmlns="http://schemas.openxmlformats.org/spreadsheetml/2006/main">
  <authors>
    <author>Admin</author>
  </authors>
  <commentList>
    <comment ref="R6" authorId="0" shapeId="0">
      <text>
        <r>
          <rPr>
            <b/>
            <sz val="9"/>
            <color indexed="81"/>
            <rFont val="Tahoma"/>
            <family val="2"/>
          </rPr>
          <t>Admin:</t>
        </r>
        <r>
          <rPr>
            <sz val="9"/>
            <color indexed="81"/>
            <rFont val="Tahoma"/>
            <family val="2"/>
          </rPr>
          <t xml:space="preserve">
nguồn tăng thu huyện tỉnh lấy về</t>
        </r>
      </text>
    </comment>
    <comment ref="C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G36" authorId="0" shapeId="0">
      <text>
        <r>
          <rPr>
            <b/>
            <sz val="9"/>
            <color indexed="81"/>
            <rFont val="Tahoma"/>
            <family val="2"/>
          </rPr>
          <t>Admin:</t>
        </r>
        <r>
          <rPr>
            <sz val="9"/>
            <color indexed="81"/>
            <rFont val="Tahoma"/>
            <family val="2"/>
          </rPr>
          <t xml:space="preserve">
mua sắm</t>
        </r>
      </text>
    </comment>
    <comment ref="V39" authorId="0" shapeId="0">
      <text>
        <r>
          <rPr>
            <b/>
            <sz val="9"/>
            <color indexed="81"/>
            <rFont val="Tahoma"/>
            <family val="2"/>
          </rPr>
          <t>Admin:</t>
        </r>
        <r>
          <rPr>
            <sz val="9"/>
            <color indexed="81"/>
            <rFont val="Tahoma"/>
            <family val="2"/>
          </rPr>
          <t xml:space="preserve">
Nghị định 30</t>
        </r>
      </text>
    </comment>
    <comment ref="G42" authorId="0" shapeId="0">
      <text>
        <r>
          <rPr>
            <b/>
            <sz val="9"/>
            <color indexed="81"/>
            <rFont val="Tahoma"/>
            <family val="2"/>
          </rPr>
          <t>Admin:</t>
        </r>
        <r>
          <rPr>
            <sz val="9"/>
            <color indexed="81"/>
            <rFont val="Tahoma"/>
            <family val="2"/>
          </rPr>
          <t xml:space="preserve">
không bao gồm 400tr môi trường</t>
        </r>
      </text>
    </comment>
    <comment ref="V42" authorId="0" shapeId="0">
      <text>
        <r>
          <rPr>
            <b/>
            <sz val="9"/>
            <color indexed="81"/>
            <rFont val="Tahoma"/>
            <family val="2"/>
          </rPr>
          <t>Admin:</t>
        </r>
        <r>
          <rPr>
            <sz val="9"/>
            <color indexed="81"/>
            <rFont val="Tahoma"/>
            <family val="2"/>
          </rPr>
          <t xml:space="preserve">
trang phục CA xã</t>
        </r>
      </text>
    </comment>
    <comment ref="G53" authorId="0" shapeId="0">
      <text>
        <r>
          <rPr>
            <b/>
            <sz val="9"/>
            <color indexed="81"/>
            <rFont val="Tahoma"/>
            <family val="2"/>
          </rPr>
          <t>Admin:</t>
        </r>
        <r>
          <rPr>
            <sz val="9"/>
            <color indexed="81"/>
            <rFont val="Tahoma"/>
            <family val="2"/>
          </rPr>
          <t xml:space="preserve">
Hội 1270tr</t>
        </r>
      </text>
    </comment>
    <comment ref="G56" authorId="0" shapeId="0">
      <text>
        <r>
          <rPr>
            <b/>
            <sz val="9"/>
            <color indexed="81"/>
            <rFont val="Tahoma"/>
            <family val="2"/>
          </rPr>
          <t>Admin:</t>
        </r>
        <r>
          <rPr>
            <sz val="9"/>
            <color indexed="81"/>
            <rFont val="Tahoma"/>
            <family val="2"/>
          </rPr>
          <t xml:space="preserve">
Đào tạo QS 7847tr</t>
        </r>
      </text>
    </comment>
    <comment ref="J66" authorId="0" shapeId="0">
      <text>
        <r>
          <rPr>
            <b/>
            <sz val="9"/>
            <color indexed="81"/>
            <rFont val="Tahoma"/>
            <family val="2"/>
          </rPr>
          <t>Admin:</t>
        </r>
        <r>
          <rPr>
            <sz val="9"/>
            <color indexed="81"/>
            <rFont val="Tahoma"/>
            <family val="2"/>
          </rPr>
          <t xml:space="preserve">
nghị định 86 (nguồn của tỉnh)</t>
        </r>
      </text>
    </comment>
    <comment ref="P66" authorId="0" shapeId="0">
      <text>
        <r>
          <rPr>
            <b/>
            <sz val="9"/>
            <color indexed="81"/>
            <rFont val="Tahoma"/>
            <family val="2"/>
          </rPr>
          <t>Admin:</t>
        </r>
        <r>
          <rPr>
            <sz val="9"/>
            <color indexed="81"/>
            <rFont val="Tahoma"/>
            <family val="2"/>
          </rPr>
          <t xml:space="preserve">
nghị định 86: 14,24ty, 3,925ty NĐ 86 (phần NS chịu)</t>
        </r>
      </text>
    </comment>
    <comment ref="V66" authorId="0" shapeId="0">
      <text>
        <r>
          <rPr>
            <b/>
            <sz val="9"/>
            <color indexed="81"/>
            <rFont val="Tahoma"/>
            <family val="2"/>
          </rPr>
          <t>Admin:</t>
        </r>
        <r>
          <rPr>
            <sz val="9"/>
            <color indexed="81"/>
            <rFont val="Tahoma"/>
            <family val="2"/>
          </rPr>
          <t xml:space="preserve">
có 14,239 tỷ NĐ 86 nguồn TW, 43,1 tỷ Nghị định 86 nguồn tỉnh</t>
        </r>
      </text>
    </comment>
    <comment ref="V85" authorId="0" shapeId="0">
      <text>
        <r>
          <rPr>
            <b/>
            <sz val="9"/>
            <color indexed="81"/>
            <rFont val="Tahoma"/>
            <family val="2"/>
          </rPr>
          <t>Admin:</t>
        </r>
        <r>
          <rPr>
            <sz val="9"/>
            <color indexed="81"/>
            <rFont val="Tahoma"/>
            <family val="2"/>
          </rPr>
          <t xml:space="preserve">
BHYT và thoát nghèo</t>
        </r>
      </text>
    </comment>
    <comment ref="G95" authorId="0" shapeId="0">
      <text>
        <r>
          <rPr>
            <b/>
            <sz val="9"/>
            <color indexed="81"/>
            <rFont val="Tahoma"/>
            <family val="2"/>
          </rPr>
          <t>Admin:</t>
        </r>
        <r>
          <rPr>
            <sz val="9"/>
            <color indexed="81"/>
            <rFont val="Tahoma"/>
            <family val="2"/>
          </rPr>
          <t xml:space="preserve">
50 triệu BCHQS</t>
        </r>
      </text>
    </comment>
    <comment ref="V99" authorId="0" shapeId="0">
      <text>
        <r>
          <rPr>
            <b/>
            <sz val="9"/>
            <color indexed="81"/>
            <rFont val="Tahoma"/>
            <family val="2"/>
          </rPr>
          <t>Admin:</t>
        </r>
        <r>
          <rPr>
            <sz val="9"/>
            <color indexed="81"/>
            <rFont val="Tahoma"/>
            <family val="2"/>
          </rPr>
          <t xml:space="preserve">
Đề án cộng tác viên gia đình và nhà cổ HA</t>
        </r>
      </text>
    </comment>
    <comment ref="J115" authorId="0" shapeId="0">
      <text>
        <r>
          <rPr>
            <b/>
            <sz val="9"/>
            <color indexed="81"/>
            <rFont val="Tahoma"/>
            <family val="2"/>
          </rPr>
          <t>Admin:</t>
        </r>
        <r>
          <rPr>
            <sz val="9"/>
            <color indexed="81"/>
            <rFont val="Tahoma"/>
            <family val="2"/>
          </rPr>
          <t xml:space="preserve">
công an 150, quân sự 70</t>
        </r>
      </text>
    </comment>
    <comment ref="Q128" authorId="0" shapeId="0">
      <text>
        <r>
          <rPr>
            <b/>
            <sz val="9"/>
            <color indexed="81"/>
            <rFont val="Tahoma"/>
            <family val="2"/>
          </rPr>
          <t>Admin:</t>
        </r>
        <r>
          <rPr>
            <sz val="9"/>
            <color indexed="81"/>
            <rFont val="Tahoma"/>
            <family val="2"/>
          </rPr>
          <t xml:space="preserve">
Hưu xã 3524tr, Nghị định 136 là 18475tr
Tiền điện hộ nghèo 20250tr</t>
        </r>
      </text>
    </comment>
    <comment ref="P130" authorId="0" shapeId="0">
      <text>
        <r>
          <rPr>
            <b/>
            <sz val="9"/>
            <color indexed="81"/>
            <rFont val="Tahoma"/>
            <family val="2"/>
          </rPr>
          <t>Admin:</t>
        </r>
        <r>
          <rPr>
            <sz val="9"/>
            <color indexed="81"/>
            <rFont val="Tahoma"/>
            <family val="2"/>
          </rPr>
          <t xml:space="preserve">
tiền điện 5061tr , thăm hỏi gia đình CS 7691tr</t>
        </r>
      </text>
    </comment>
    <comment ref="V130" authorId="0" shapeId="0">
      <text>
        <r>
          <rPr>
            <b/>
            <sz val="9"/>
            <color indexed="81"/>
            <rFont val="Tahoma"/>
            <family val="2"/>
          </rPr>
          <t>Admin:</t>
        </r>
        <r>
          <rPr>
            <sz val="9"/>
            <color indexed="81"/>
            <rFont val="Tahoma"/>
            <family val="2"/>
          </rPr>
          <t xml:space="preserve">
Tiền điện 9877
nhà ở NCC</t>
        </r>
      </text>
    </comment>
    <comment ref="V134" authorId="0" shapeId="0">
      <text>
        <r>
          <rPr>
            <b/>
            <sz val="9"/>
            <color indexed="81"/>
            <rFont val="Tahoma"/>
            <family val="2"/>
          </rPr>
          <t>Admin:</t>
        </r>
        <r>
          <rPr>
            <sz val="9"/>
            <color indexed="81"/>
            <rFont val="Tahoma"/>
            <family val="2"/>
          </rPr>
          <t xml:space="preserve">
88,737 tỷ đồng cho AXSH</t>
        </r>
      </text>
    </comment>
    <comment ref="G139" authorId="0" shapeId="0">
      <text>
        <r>
          <rPr>
            <b/>
            <sz val="9"/>
            <color indexed="81"/>
            <rFont val="Tahoma"/>
            <family val="2"/>
          </rPr>
          <t>Admin:</t>
        </r>
        <r>
          <rPr>
            <sz val="9"/>
            <color indexed="81"/>
            <rFont val="Tahoma"/>
            <family val="2"/>
          </rPr>
          <t xml:space="preserve">
700 Thống kê
34000tr Quỹ BTĐB
năm 2017. 
Năm 2018: BCHBP 350tr, Quỹ BTĐB 40 tỷ, Cục Thống kê 400tr
Hội 600tr</t>
        </r>
      </text>
    </comment>
    <comment ref="P146" authorId="0" shapeId="0">
      <text>
        <r>
          <rPr>
            <b/>
            <sz val="9"/>
            <color indexed="81"/>
            <rFont val="Tahoma"/>
            <family val="2"/>
          </rPr>
          <t>Admin:</t>
        </r>
        <r>
          <rPr>
            <sz val="9"/>
            <color indexed="81"/>
            <rFont val="Tahoma"/>
            <family val="2"/>
          </rPr>
          <t xml:space="preserve">
Sâm ngọc linh</t>
        </r>
      </text>
    </comment>
    <comment ref="P147" authorId="0" shapeId="0">
      <text>
        <r>
          <rPr>
            <b/>
            <sz val="9"/>
            <color indexed="81"/>
            <rFont val="Tahoma"/>
            <family val="2"/>
          </rPr>
          <t>Admin:</t>
        </r>
        <r>
          <rPr>
            <sz val="9"/>
            <color indexed="81"/>
            <rFont val="Tahoma"/>
            <family val="2"/>
          </rPr>
          <t xml:space="preserve">
Phần còn lại của Sâm ngọc linh và cây dược liệu</t>
        </r>
      </text>
    </comment>
    <comment ref="V147" authorId="0" shapeId="0">
      <text>
        <r>
          <rPr>
            <b/>
            <sz val="9"/>
            <color indexed="81"/>
            <rFont val="Tahoma"/>
            <family val="2"/>
          </rPr>
          <t>Admin:</t>
        </r>
        <r>
          <rPr>
            <sz val="9"/>
            <color indexed="81"/>
            <rFont val="Tahoma"/>
            <family val="2"/>
          </rPr>
          <t xml:space="preserve">
174,5 Tỷ Cho Nghị quyết HĐND (trong đó, đối ứng NTM 56 tỷ, BSMT cho huyện)</t>
        </r>
      </text>
    </comment>
    <comment ref="B152" authorId="0" shapeId="0">
      <text>
        <r>
          <rPr>
            <b/>
            <sz val="9"/>
            <color indexed="81"/>
            <rFont val="Tahoma"/>
            <family val="2"/>
          </rPr>
          <t>Admin:</t>
        </r>
        <r>
          <rPr>
            <sz val="9"/>
            <color indexed="81"/>
            <rFont val="Tahoma"/>
            <family val="2"/>
          </rPr>
          <t xml:space="preserve">
bao gồm tăng thu dự toán</t>
        </r>
      </text>
    </comment>
    <comment ref="G153" authorId="0" shapeId="0">
      <text>
        <r>
          <rPr>
            <b/>
            <sz val="9"/>
            <color indexed="81"/>
            <rFont val="Tahoma"/>
            <family val="2"/>
          </rPr>
          <t>Admin:</t>
        </r>
        <r>
          <rPr>
            <sz val="9"/>
            <color indexed="81"/>
            <rFont val="Tahoma"/>
            <family val="2"/>
          </rPr>
          <t xml:space="preserve">
CA 400tr</t>
        </r>
      </text>
    </comment>
    <comment ref="N157" authorId="0" shapeId="0">
      <text>
        <r>
          <rPr>
            <b/>
            <sz val="9"/>
            <color indexed="81"/>
            <rFont val="Tahoma"/>
            <family val="2"/>
          </rPr>
          <t>Admin:</t>
        </r>
        <r>
          <rPr>
            <sz val="9"/>
            <color indexed="81"/>
            <rFont val="Tahoma"/>
            <family val="2"/>
          </rPr>
          <t xml:space="preserve">
trừ do hụt thu</t>
        </r>
      </text>
    </comment>
    <comment ref="V161" authorId="0" shapeId="0">
      <text>
        <r>
          <rPr>
            <b/>
            <sz val="9"/>
            <color indexed="81"/>
            <rFont val="Tahoma"/>
            <family val="2"/>
          </rPr>
          <t>Admin:</t>
        </r>
        <r>
          <rPr>
            <sz val="9"/>
            <color indexed="81"/>
            <rFont val="Tahoma"/>
            <family val="2"/>
          </rPr>
          <t xml:space="preserve">
nghị định 116</t>
        </r>
      </text>
    </comment>
    <comment ref="V162" authorId="0" shapeId="0">
      <text>
        <r>
          <rPr>
            <b/>
            <sz val="9"/>
            <color indexed="81"/>
            <rFont val="Tahoma"/>
            <family val="2"/>
          </rPr>
          <t>Admin:</t>
        </r>
        <r>
          <rPr>
            <sz val="9"/>
            <color indexed="81"/>
            <rFont val="Tahoma"/>
            <family val="2"/>
          </rPr>
          <t xml:space="preserve">
Nghị định 116 số tiền 50,945tr, trích lập quỹ TĐKT cấp Sở 11,908 tỷ đồng, mua oto 20 tỷ, Đề án phát triển CNTT 10 tỷ </t>
        </r>
      </text>
    </comment>
    <comment ref="F168" authorId="0" shapeId="0">
      <text>
        <r>
          <rPr>
            <b/>
            <sz val="9"/>
            <color indexed="81"/>
            <rFont val="Tahoma"/>
            <family val="2"/>
          </rPr>
          <t>Admin:</t>
        </r>
        <r>
          <rPr>
            <sz val="9"/>
            <color indexed="81"/>
            <rFont val="Tahoma"/>
            <family val="2"/>
          </rPr>
          <t xml:space="preserve">
Báo Quảng Nam</t>
        </r>
      </text>
    </comment>
  </commentList>
</comments>
</file>

<file path=xl/comments8.xml><?xml version="1.0" encoding="utf-8"?>
<comments xmlns="http://schemas.openxmlformats.org/spreadsheetml/2006/main">
  <authors>
    <author>Admin</author>
  </authors>
  <commentList>
    <comment ref="L12" authorId="0" shapeId="0">
      <text>
        <r>
          <rPr>
            <b/>
            <sz val="9"/>
            <color indexed="81"/>
            <rFont val="Tahoma"/>
            <family val="2"/>
          </rPr>
          <t>Admin:</t>
        </r>
        <r>
          <rPr>
            <sz val="9"/>
            <color indexed="81"/>
            <rFont val="Tahoma"/>
            <family val="2"/>
          </rPr>
          <t xml:space="preserve">
7,61 tỷ giảm nghèo</t>
        </r>
      </text>
    </comment>
    <comment ref="L41" authorId="0" shapeId="0">
      <text>
        <r>
          <rPr>
            <b/>
            <sz val="9"/>
            <color indexed="81"/>
            <rFont val="Tahoma"/>
            <family val="2"/>
          </rPr>
          <t>Admin:</t>
        </r>
        <r>
          <rPr>
            <sz val="9"/>
            <color indexed="81"/>
            <rFont val="Tahoma"/>
            <family val="2"/>
          </rPr>
          <t xml:space="preserve">
28080 triệu đồng cho giảm nghèo</t>
        </r>
      </text>
    </comment>
    <comment ref="L114" authorId="0" shapeId="0">
      <text>
        <r>
          <rPr>
            <b/>
            <sz val="9"/>
            <color indexed="81"/>
            <rFont val="Tahoma"/>
            <family val="2"/>
          </rPr>
          <t>Admin:</t>
        </r>
        <r>
          <rPr>
            <sz val="9"/>
            <color indexed="81"/>
            <rFont val="Tahoma"/>
            <family val="2"/>
          </rPr>
          <t xml:space="preserve">
Giảm nghèo 20 tỷ</t>
        </r>
      </text>
    </comment>
    <comment ref="L149" authorId="0" shapeId="0">
      <text>
        <r>
          <rPr>
            <b/>
            <sz val="9"/>
            <color indexed="81"/>
            <rFont val="Tahoma"/>
            <family val="2"/>
          </rPr>
          <t>Admin:</t>
        </r>
        <r>
          <rPr>
            <sz val="9"/>
            <color indexed="81"/>
            <rFont val="Tahoma"/>
            <family val="2"/>
          </rPr>
          <t xml:space="preserve">
Giảm nghèo 42160 triệu đồng</t>
        </r>
      </text>
    </comment>
  </commentList>
</comments>
</file>

<file path=xl/sharedStrings.xml><?xml version="1.0" encoding="utf-8"?>
<sst xmlns="http://schemas.openxmlformats.org/spreadsheetml/2006/main" count="3813" uniqueCount="1050">
  <si>
    <t>Đơn vị: triệu đồng</t>
  </si>
  <si>
    <t>NỘI DUNG</t>
  </si>
  <si>
    <t>SO SÁNH</t>
  </si>
  <si>
    <t>ĐỊA PHƯƠNG</t>
  </si>
  <si>
    <t>I- Thu cố định và điều tiết</t>
  </si>
  <si>
    <t>II- Thu trợ cấp</t>
  </si>
  <si>
    <t>1- Bổ sung cân đối (nếu có)</t>
  </si>
  <si>
    <t>2.1- Chi XDCB tập trung trong nước</t>
  </si>
  <si>
    <t>2.2- Chi đầu tư từ nguồn thu tiền sử dụng đất</t>
  </si>
  <si>
    <t>TRUNG ƯƠNG</t>
  </si>
  <si>
    <t>1- Thu cố định (100% NSĐP)</t>
  </si>
  <si>
    <t>STT</t>
  </si>
  <si>
    <t>A</t>
  </si>
  <si>
    <t>B</t>
  </si>
  <si>
    <t>1. Chi tạo nguồn cải cách tiền lương (50% tăng thu NSĐP)</t>
  </si>
  <si>
    <t xml:space="preserve"> 2. Chi đầu tư phát triển</t>
  </si>
  <si>
    <t xml:space="preserve"> 3. Chi thường xuyên:</t>
  </si>
  <si>
    <t>I</t>
  </si>
  <si>
    <t>II</t>
  </si>
  <si>
    <t>Chi an ninh</t>
  </si>
  <si>
    <t>Chi sự nghiệp kinh tế</t>
  </si>
  <si>
    <t>3.1. Chi Quốc phòng</t>
  </si>
  <si>
    <t>3.2. Chi an ninh</t>
  </si>
  <si>
    <t>3.8. Chi thể dục thể thao</t>
  </si>
  <si>
    <t>a</t>
  </si>
  <si>
    <t>b</t>
  </si>
  <si>
    <t>CHI NGÂN SÁCH NĂM 2016 VÀ DỰ TOÁN 2017 (THẢO LUẬN VÒNG I)</t>
  </si>
  <si>
    <t>DỰ TOÁN NĂM 2016 (GIAO ĐẦU NĂM)</t>
  </si>
  <si>
    <t>ƯỚC THỰC HIỆN 2016</t>
  </si>
  <si>
    <t>DỰ TOÁN NĂM 2017</t>
  </si>
  <si>
    <t>UTH 2016(TW)/ DT 2016</t>
  </si>
  <si>
    <t>DT 2017(TW)/ DT 2016</t>
  </si>
  <si>
    <t>2.2 - Chi đầu tư từ nguồn thu xổ số kiến thiết</t>
  </si>
  <si>
    <t xml:space="preserve">A-TỔNG THU NSĐP </t>
  </si>
  <si>
    <t>Chỉ tiêu</t>
  </si>
  <si>
    <t>Đơn vị tính</t>
  </si>
  <si>
    <t>Chỉ tiêu cơ bản</t>
  </si>
  <si>
    <t>Định mức</t>
  </si>
  <si>
    <t>Kinh phí</t>
  </si>
  <si>
    <t>SỐ TUYỆT ĐỐI</t>
  </si>
  <si>
    <t>SỐ TƯƠNG ĐỐI</t>
  </si>
  <si>
    <t>Số của Bộ</t>
  </si>
  <si>
    <t>Số của ĐP</t>
  </si>
  <si>
    <t>Tổng chi thường xuyên</t>
  </si>
  <si>
    <t>Sự nghiệp giáo dục - đào tạo và dạy nghề</t>
  </si>
  <si>
    <t>1.1</t>
  </si>
  <si>
    <t>Sự nghiệp giáo dục:</t>
  </si>
  <si>
    <t>Phân bổ theo định mức dân số từ 1 - 18 tuổi</t>
  </si>
  <si>
    <t xml:space="preserve"> - Đô thị</t>
  </si>
  <si>
    <t>người</t>
  </si>
  <si>
    <t xml:space="preserve"> - Đồng bằng</t>
  </si>
  <si>
    <t xml:space="preserve"> - Miền núi, vùng ĐBDT ở ĐB, vùng sâu</t>
  </si>
  <si>
    <t xml:space="preserve"> - Vùng cao-hải đảo</t>
  </si>
  <si>
    <t>- Tỷ lệ các khoản đóng góp (BH, CĐ) - %</t>
  </si>
  <si>
    <t xml:space="preserve"> </t>
  </si>
  <si>
    <t>c</t>
  </si>
  <si>
    <t>1.2</t>
  </si>
  <si>
    <t>Chi sự nghiệp đào tạo theo dân số trừ 1-18 tuổi</t>
  </si>
  <si>
    <t>Phân bổ theo định mức dân số:</t>
  </si>
  <si>
    <t>1.3</t>
  </si>
  <si>
    <t>Chi sự nghiệp y tế</t>
  </si>
  <si>
    <t>2.1</t>
  </si>
  <si>
    <t>Phân bổ theo định mức dân số</t>
  </si>
  <si>
    <t>2.2</t>
  </si>
  <si>
    <t>2.3</t>
  </si>
  <si>
    <t>2.4</t>
  </si>
  <si>
    <t>Chi quản lý hành chính, nhà nước, đảng, đoàn thể</t>
  </si>
  <si>
    <t>3.1</t>
  </si>
  <si>
    <t>Phân bổ theo định mức dân số và các tiêu chí phụ</t>
  </si>
  <si>
    <t>Phân bổ theo đơn vị hành chính cấp huyện</t>
  </si>
  <si>
    <t xml:space="preserve"> - Vùng cao - hải đảo</t>
  </si>
  <si>
    <t>đơn vị</t>
  </si>
  <si>
    <t xml:space="preserve"> - Vùng còn lại</t>
  </si>
  <si>
    <t>Phân bổ theo đơn vị hành chính cấp xã</t>
  </si>
  <si>
    <t>d</t>
  </si>
  <si>
    <t>Bổ sung theo số đơn vị hành chính đặc thù (nếu có)</t>
  </si>
  <si>
    <t>- Đơn vị hành chính cấp tỉnh</t>
  </si>
  <si>
    <t>3.2</t>
  </si>
  <si>
    <t>Quỹ tiền lương</t>
  </si>
  <si>
    <t>a. Quỹ lương hành chính, đảng, đoàn thể tỉnh, huyện</t>
  </si>
  <si>
    <t>b. Quỹ lương cán bộ, công chức cấp xã</t>
  </si>
  <si>
    <t>d. Phụ cấp đại biểu HĐND</t>
  </si>
  <si>
    <t>e. Phụ cấp cấp uỷ</t>
  </si>
  <si>
    <t>3.3</t>
  </si>
  <si>
    <t xml:space="preserve">3.4 </t>
  </si>
  <si>
    <t>Chi sự nghiệp văn hoá - thông tin</t>
  </si>
  <si>
    <t>4.1</t>
  </si>
  <si>
    <t>Phân bổ theo tiêu chí dân số</t>
  </si>
  <si>
    <t>4.2</t>
  </si>
  <si>
    <t>Phân bổ theo số đơn vị  nghệ thuật</t>
  </si>
  <si>
    <t>- Đoàn nghệ thuật chuyên nghiệp</t>
  </si>
  <si>
    <t>- Đội thông tin lưu động</t>
  </si>
  <si>
    <t>Chi sự nghiệp phát thanh - truyền hình</t>
  </si>
  <si>
    <t>5.1</t>
  </si>
  <si>
    <t>5.2</t>
  </si>
  <si>
    <t>Chi sự nghiệp thể dục - thể thao</t>
  </si>
  <si>
    <t>6.1</t>
  </si>
  <si>
    <t>6.2</t>
  </si>
  <si>
    <t>VĐV</t>
  </si>
  <si>
    <t>Chi đảm bảo xã hôi</t>
  </si>
  <si>
    <t>7.1</t>
  </si>
  <si>
    <t>7.2</t>
  </si>
  <si>
    <t>Phân bổ theo số gia đình thuộc diện chính sách</t>
  </si>
  <si>
    <t>gia đình</t>
  </si>
  <si>
    <t>7.3</t>
  </si>
  <si>
    <t>Phân bổ kinh phí thực hiện chế độ đối với CB xã nghỉ việc hưởng trợ cấp hàng tháng</t>
  </si>
  <si>
    <t>- Nguyên Bí thư, Chủ tịch</t>
  </si>
  <si>
    <t>- Nguyên Phó Bí thư, Phó Chủ tịch, thường trực Đảng uỷ, uỷ viên thư ký UBND, thư ký HĐND, xã đội trưởng</t>
  </si>
  <si>
    <t>- Các chức danh còn lại</t>
  </si>
  <si>
    <t>7.4</t>
  </si>
  <si>
    <t>Chi quốc phòng</t>
  </si>
  <si>
    <t>8.1</t>
  </si>
  <si>
    <t>8.2</t>
  </si>
  <si>
    <t>Phân bổ theo số huyện, xã biên giới, hải đảo</t>
  </si>
  <si>
    <t>- Huyện</t>
  </si>
  <si>
    <t>9.1</t>
  </si>
  <si>
    <t>9.2</t>
  </si>
  <si>
    <t>11.1</t>
  </si>
  <si>
    <t>Phân bổ theo tỷ trọng các khoản chi định mức</t>
  </si>
  <si>
    <t>11.2</t>
  </si>
  <si>
    <t>Phân bổ theo loại đô thị</t>
  </si>
  <si>
    <t>đô thị</t>
  </si>
  <si>
    <t xml:space="preserve"> - Đô thị loại II</t>
  </si>
  <si>
    <t xml:space="preserve"> - Đô thị loại III</t>
  </si>
  <si>
    <t>- Đô thị loại IV</t>
  </si>
  <si>
    <t>11.3</t>
  </si>
  <si>
    <t>Phân bổ cấp bù thuỷ lợi phí</t>
  </si>
  <si>
    <t>trđồng</t>
  </si>
  <si>
    <t>11.4</t>
  </si>
  <si>
    <t>12.1</t>
  </si>
  <si>
    <t>12.2</t>
  </si>
  <si>
    <t>Chi sự nghiệp môi trường</t>
  </si>
  <si>
    <t>13.1</t>
  </si>
  <si>
    <t>Phân bổ theo dân số quy đổi</t>
  </si>
  <si>
    <t>Dân số quy đổi theo dân số đô thị</t>
  </si>
  <si>
    <t xml:space="preserve"> - Dân số đô thị đặc biệt</t>
  </si>
  <si>
    <t xml:space="preserve"> - Dân số đô thị loại I</t>
  </si>
  <si>
    <t xml:space="preserve"> - Dân số nông thôn</t>
  </si>
  <si>
    <t>Dân số quy đổi theo mật độ dân số</t>
  </si>
  <si>
    <t xml:space="preserve"> - Diện tích tự nhiên</t>
  </si>
  <si>
    <t>km2</t>
  </si>
  <si>
    <t xml:space="preserve"> - Mật độ dân số</t>
  </si>
  <si>
    <t>Ng/km2</t>
  </si>
  <si>
    <t>13.2</t>
  </si>
  <si>
    <t>Phân bổ theo giá trị sản xuất công nghiệp</t>
  </si>
  <si>
    <t>Phân bổ theo diện tích khu bảo tồn thiên nhiên</t>
  </si>
  <si>
    <t>Phân bổ theo diện tích rừng tự nhiên</t>
  </si>
  <si>
    <t>Chi khác ngân sách</t>
  </si>
  <si>
    <t>Phân bổ theo tỷ trọng các khoản chi nêu trên</t>
  </si>
  <si>
    <t>Các khoản chi thường xuyên còn lại</t>
  </si>
  <si>
    <t>Chi thường xuyên theo kết luận của Bộ</t>
  </si>
  <si>
    <r>
      <t xml:space="preserve">Hệ số tăng định mức (ĐB SCL, </t>
    </r>
    <r>
      <rPr>
        <u/>
        <sz val="12"/>
        <color indexed="8"/>
        <rFont val="Times New Roman"/>
        <family val="1"/>
      </rPr>
      <t>dân số thấp</t>
    </r>
    <r>
      <rPr>
        <sz val="12"/>
        <color indexed="8"/>
        <rFont val="Times New Roman"/>
        <family val="1"/>
      </rPr>
      <t>, tỷ lệ điều tiết)</t>
    </r>
  </si>
  <si>
    <t>Tổng chi sự nghiệp môi trường NSĐP (không thay đổi - triệu đồng)</t>
  </si>
  <si>
    <t>Dân số quy đổi toàn quốc (không thay đổi - triệu người)</t>
  </si>
  <si>
    <t>Giá trị sản xuất công nghiệp toàn quốc (không thay đổi - tỷ đồng)</t>
  </si>
  <si>
    <t>Diện tích khu bảo tồn thiên nhiên toàn quốc (không thay đổi - ha)</t>
  </si>
  <si>
    <t>Diện tích rừng tự nhiên toàn quốc (không thay đổi - ha)</t>
  </si>
  <si>
    <t>Một số chỉ tiêu chung để tính chi thường xuyên năm 2016</t>
  </si>
  <si>
    <t>Dự toán 2016 xác định lại</t>
  </si>
  <si>
    <t>BIỂU TÍNH DỰ TOÁN CHI THƯỜNG XUYÊN NĂM 2017</t>
  </si>
  <si>
    <t>- Số người có mặt đến 01/05/2016</t>
  </si>
  <si>
    <t>Trong đó:</t>
  </si>
  <si>
    <t>Bổ sung đảm bảo chi sự nghiệp GD-ĐT không thấp hơn dự toán 2016</t>
  </si>
  <si>
    <t>Kinh phí mua thẻ BHYT cho trẻ em dưới 6 tuổi</t>
  </si>
  <si>
    <t>Dự toán 2017</t>
  </si>
  <si>
    <t>Kinh phí mua thẻ BHYT cho học sinh, sinh viên</t>
  </si>
  <si>
    <t>- Biên chế cấp có thẩm quyền giao năm 2016</t>
  </si>
  <si>
    <t>Bổ sung theo huyện miền núi - vùng đồng bào dân tộc có trạm phát lại phát thanh truyền hình và các huyện vùng cao hải đảo</t>
  </si>
  <si>
    <t>Chi sự nghiệp khoa học - công nghệ (tăng ...% so DT 2016)</t>
  </si>
  <si>
    <t>- Đô thị loại V</t>
  </si>
  <si>
    <t xml:space="preserve"> - Quận, đô thị loại I (thuộc tỉnh)</t>
  </si>
  <si>
    <t>Kinh phí hỗ trợ địa phương sản xuất lúa NĐ35</t>
  </si>
  <si>
    <t>Phân bổ địa phương có diện tích trồng lúa lớn</t>
  </si>
  <si>
    <t>11.5</t>
  </si>
  <si>
    <t>Hỗ trợ các huyện đảo, xã đảo</t>
  </si>
  <si>
    <t>12.3</t>
  </si>
  <si>
    <t>12.4</t>
  </si>
  <si>
    <t>Bổ sung đảm bảo các sự nghiệp còn lại không thấp hơn dự toán 2016 (không kể chi GD-ĐT và chi KHCN)</t>
  </si>
  <si>
    <t>SO SÁNH DT 2017 VÀ DT 2016</t>
  </si>
  <si>
    <t>4.3</t>
  </si>
  <si>
    <t>Phân bổ khu, điểm du lịch quốc gia</t>
  </si>
  <si>
    <t>7.5</t>
  </si>
  <si>
    <t>Kinh phí thực hiện QĐ 102/2009/QĐ-TTg</t>
  </si>
  <si>
    <t>3- Thu chuyển nguồn (nếu có)</t>
  </si>
  <si>
    <t>2 - Bổ sung thực hiện CCTL (nếu có)</t>
  </si>
  <si>
    <t>3- Bổ sung có mục tiêu</t>
  </si>
  <si>
    <t>I. Học phí, viện phí, tiết kiệm</t>
  </si>
  <si>
    <t>II. Số bổ sung thực hiện CCTL 1.210 tr.đ/tháng</t>
  </si>
  <si>
    <t>III. Bổ sung mục tiêu</t>
  </si>
  <si>
    <t>Bố trí trong chi cân đối năm 2016</t>
  </si>
  <si>
    <t>Kinh phí tăng thêm so cân đối năm 2016</t>
  </si>
  <si>
    <t>Nhu cầu kinh phí thực hiện chính sách 2016</t>
  </si>
  <si>
    <t>Dự toán chi TX cân đối 2016 giao</t>
  </si>
  <si>
    <t>Dự toán chi TX 2016 xác định lại</t>
  </si>
  <si>
    <t>S</t>
  </si>
  <si>
    <t>T</t>
  </si>
  <si>
    <t>III</t>
  </si>
  <si>
    <t>IV</t>
  </si>
  <si>
    <t>DỰ TOÁN NĂM 2016 XÁC ĐỊNH LẠI</t>
  </si>
  <si>
    <t>Đơn vị: Triệu đồng</t>
  </si>
  <si>
    <t>Nhập số thứ tự</t>
  </si>
  <si>
    <t>- Chi lĩnh vực giáo dục - đào tạo</t>
  </si>
  <si>
    <t>- Chi khoa học công nghệ</t>
  </si>
  <si>
    <t>- Chi thường xuyên còn lại</t>
  </si>
  <si>
    <t>B. CÁC KHOẢN XÁC ĐỊNH LẠI</t>
  </si>
  <si>
    <t>A. TỔNG CHI THƯỜNG XUYÊN CÂN ĐỐI DT NĂM 2016</t>
  </si>
  <si>
    <t>- Lĩnh vực giáo dục</t>
  </si>
  <si>
    <t>- Lĩnh vực khoa học - công nghệ</t>
  </si>
  <si>
    <t>4=3-2</t>
  </si>
  <si>
    <t>6=5+4</t>
  </si>
  <si>
    <t>không nhập số</t>
  </si>
  <si>
    <t>- Biên chế HĐND tỉnh giao năm 2016</t>
  </si>
  <si>
    <t>DỰ TOÁN NĂM 2016 (XÁC ĐỊNH LẠI</t>
  </si>
  <si>
    <t>B- TỔNG CHI CÂN ĐỐI NSĐP</t>
  </si>
  <si>
    <t>C. Chi chuyển nguồn để thực hiện CCTL (50% tăng thu ƯTH 2016)</t>
  </si>
  <si>
    <t>Kinh phí hỗ trợ tiền ăn trưa trẻ em 3-5 tuổi</t>
  </si>
  <si>
    <t>e</t>
  </si>
  <si>
    <t>f</t>
  </si>
  <si>
    <t>Học bổng, chi phí học tập cho học sinh khuyết tật</t>
  </si>
  <si>
    <t>Kinh phí hỗ trợ học sinh PTTH vùng ĐBKK</t>
  </si>
  <si>
    <t>Kinh phí hỗ trợ chi phí học tập đối với sinh viên là người dân tộc thiểu số tại các cơ sở giáo dục đại học</t>
  </si>
  <si>
    <t>c. Quỹ lương theo Nghị định 29</t>
  </si>
  <si>
    <t>Kinh phí thường xuyên cho đối tượng bảo trợ xã hội theo NĐ136</t>
  </si>
  <si>
    <t>2.5</t>
  </si>
  <si>
    <t>Kinh phí mua BHYT cho đối tượng BTXH</t>
  </si>
  <si>
    <t>2.6</t>
  </si>
  <si>
    <t>Kinh phí mua BHYT cho cựu chiến binh, thanh niên xung phong, đối tượng tham gia kháng chiến Lào, Campuchia</t>
  </si>
  <si>
    <t>Tổng quản lý hành chính 2016 (3.1+3.2)</t>
  </si>
  <si>
    <t>3.3. Chi giáo dục - đào tạo và dạy nghề</t>
  </si>
  <si>
    <t>3.4. Chi khoa học và công nghệ</t>
  </si>
  <si>
    <t>3.5. Chi y tế, dân số và gia đình</t>
  </si>
  <si>
    <t>3.6. Chi văn hóa thông tin</t>
  </si>
  <si>
    <t>3.7. Chi phát thanh, truyền hình</t>
  </si>
  <si>
    <t>3.9. Chi bảo vệ môi trường</t>
  </si>
  <si>
    <t>3.10. Chi các hoạt động kinh tế</t>
  </si>
  <si>
    <t>3.11. Chi quản lý hành chính nhà nước, đảng, đoàn thể</t>
  </si>
  <si>
    <t>3.12. Chi bảo đảm xã hội</t>
  </si>
  <si>
    <t>3.13. Chi sự nghiệp khác</t>
  </si>
  <si>
    <t>4. Chi trả nợ lãi vay</t>
  </si>
  <si>
    <t>5. Dự phòng ngân sách</t>
  </si>
  <si>
    <t>6. Bổ sung quỹ dự trữ tài chính</t>
  </si>
  <si>
    <t>8=4/2</t>
  </si>
  <si>
    <t>9=5/2</t>
  </si>
  <si>
    <t>10=6/3</t>
  </si>
  <si>
    <t>11=7/3</t>
  </si>
  <si>
    <r>
      <t xml:space="preserve">   </t>
    </r>
    <r>
      <rPr>
        <b/>
        <i/>
        <sz val="14"/>
        <rFont val="Times New Roman"/>
        <family val="1"/>
      </rPr>
      <t>Ghi chú:</t>
    </r>
    <r>
      <rPr>
        <i/>
        <sz val="14"/>
        <rFont val="Times New Roman"/>
        <family val="1"/>
      </rPr>
      <t xml:space="preserve"> (1) Bao gồm khoản vay thực hiện Chương trình kiên cố hoá kênh mương, giao thông thông nông, cơ sở hạ tầng nuôi trồng thuỷ sản, cơ sở hạ tầng làng nghề ở nông thôn; khoản vay đầu tư tôn nền vượt lũ để xây dựng cụm tuyến dân cư vùng ngập lũ sâu đồng bằng sông Cửu Long;...</t>
    </r>
  </si>
  <si>
    <t>Vay khác</t>
  </si>
  <si>
    <t>Vay lại từ nguồn Chính phủ vay ngoài nước</t>
  </si>
  <si>
    <t>Phát hành Trái phiếu chính quyền địa phương</t>
  </si>
  <si>
    <t>Vay Kho bạc Nhà nước</t>
  </si>
  <si>
    <t>Vay Ngân hàng phát triển Việt Nam</t>
  </si>
  <si>
    <t xml:space="preserve">Trả nợ lãi (phí) vay trong năm </t>
  </si>
  <si>
    <t>G</t>
  </si>
  <si>
    <t>Vay Ngân hàng phát triển Việt Nam (1)</t>
  </si>
  <si>
    <t>Tỷ lệ mức dư nợ cuối kỳ so với mức dư nợ vay tối đa của ngân sách địa phương (%)</t>
  </si>
  <si>
    <t>Tổng dư nợ cuối năm</t>
  </si>
  <si>
    <t>Kết dư ngân sách cấp tỉnh</t>
  </si>
  <si>
    <t>-</t>
  </si>
  <si>
    <t>Tăng thu, tiết kiệm chi</t>
  </si>
  <si>
    <t>Bội thu ngân sách địa phương</t>
  </si>
  <si>
    <t>Từ nguồn vay</t>
  </si>
  <si>
    <t>Kế hoạch vay trong năm</t>
  </si>
  <si>
    <t xml:space="preserve">Trả nợ gốc vay trong năm </t>
  </si>
  <si>
    <t>Tổng mức vay trong năm</t>
  </si>
  <si>
    <t>Tỷ lệ mức dư nợ đầu kỳ so với mức dư nợ vay tối đa của ngân sách địa phương (%)</t>
  </si>
  <si>
    <t>Tổng dư nợ đầu năm</t>
  </si>
  <si>
    <t>KẾ HOẠCH VAY, TRẢ NỢ</t>
  </si>
  <si>
    <t>F</t>
  </si>
  <si>
    <t>BỘI CHI NGÂN SÁCH ĐỊA PHƯƠNG</t>
  </si>
  <si>
    <t>E</t>
  </si>
  <si>
    <t>MỨC DƯ NỢ VAY TỐI ĐA CỦA NSĐP</t>
  </si>
  <si>
    <t>D</t>
  </si>
  <si>
    <t>TỶ LỆ CHI THƯỜNG XUYÊN/THU NSĐP ĐƯỢC HƯỞNG 2017</t>
  </si>
  <si>
    <t>C</t>
  </si>
  <si>
    <t>CHI THƯỜNG XUYÊN NĂM 2017</t>
  </si>
  <si>
    <t>THU NSĐP ĐƯỢC HƯỞNG NĂM 2017</t>
  </si>
  <si>
    <t>hoạch</t>
  </si>
  <si>
    <t>hiện hành</t>
  </si>
  <si>
    <t>hành</t>
  </si>
  <si>
    <t>năm 2016</t>
  </si>
  <si>
    <t>Dự toán</t>
  </si>
  <si>
    <t xml:space="preserve">So sánh </t>
  </si>
  <si>
    <t>năm kế</t>
  </si>
  <si>
    <t>hiện năm</t>
  </si>
  <si>
    <t>năm hiện</t>
  </si>
  <si>
    <t>Chênh lệch</t>
  </si>
  <si>
    <t>năm 2017</t>
  </si>
  <si>
    <t>ƯTH</t>
  </si>
  <si>
    <t xml:space="preserve">Tính đến </t>
  </si>
  <si>
    <t>Nội dung</t>
  </si>
  <si>
    <t>Ước thực</t>
  </si>
  <si>
    <t>Năm 2016</t>
  </si>
  <si>
    <t>Đơn vị: Triệu đồng.</t>
  </si>
  <si>
    <t>KẾ HOẠCH TRẢ NỢ GỐC, LÃI VÀ BỘI CHI NGÂN SÁCH ĐỊA PHƯƠNG NĂM 2017</t>
  </si>
  <si>
    <t xml:space="preserve"> - Dân số đô thị từ loại II đến loại IV</t>
  </si>
  <si>
    <t>Bổ sung theo số vận động viên cấp quốc gia thành thích cao và vận động viên khuyết tật (chế độ theo QĐ 32/2011/QĐ-TTg)</t>
  </si>
  <si>
    <t>Trong đó: Kinh phí thực hiện Nghị định 168</t>
  </si>
  <si>
    <t>- Hệ số phụ cấp bình quân</t>
  </si>
  <si>
    <t>- Hệ số lương, ngạch bậc bình quân</t>
  </si>
  <si>
    <t>2. Hỗ trợ học sinh bán trú và trường phổ thông dân tộc bán trú</t>
  </si>
  <si>
    <t>1. Học bổng học sinh dân tộc nội trú</t>
  </si>
  <si>
    <t>3. Hỗ trợ học sinh PTTH ở vùng có điều kiện KTXH ĐBKK (QĐ 12)</t>
  </si>
  <si>
    <t>4. Hỗ trợ kinh phí giáo viên mầm non và tăng biên chế giáo viên (tính 80-20 đối với lương 730)</t>
  </si>
  <si>
    <t>5. Ăn trưa trẻ 3-5 tuổi</t>
  </si>
  <si>
    <t>6. Hỗ trợ thành lập trường Đại học (lấy theo số phòng)</t>
  </si>
  <si>
    <t>7. Hỗ trợ học bổng, chi phí học tập HS, SV khuyết tật</t>
  </si>
  <si>
    <t>8. Hỗ trợ chi phí học tập sinh viên DTTS</t>
  </si>
  <si>
    <t xml:space="preserve">9. BHYT trẻ em dưới 6 tuổi </t>
  </si>
  <si>
    <t>10. BHYT học sinh, sinh viên</t>
  </si>
  <si>
    <t>11. Chuyển nhiệm vụ chi TW về ĐP (lấy theo số phòng)</t>
  </si>
  <si>
    <t>12. BHYT đối tượng BTXH</t>
  </si>
  <si>
    <t>13. BHYT người hiến bộ phận cơ thể</t>
  </si>
  <si>
    <t>14. BHYT người nghèo, DTTS vùng khó khăn; người đang sinh sống tại vùng ĐBKK, xã đảo, huyện đảo.</t>
  </si>
  <si>
    <t>b.1- Quỹ lương theo Nghị định 47</t>
  </si>
  <si>
    <t>b.2- Học bổng cho học sinh dân tộc nội trú</t>
  </si>
  <si>
    <t>b.3- Học bổng cho học sinh dân tộc bán trú</t>
  </si>
  <si>
    <t>b.4- Giáo viên mầm non hợp đồng</t>
  </si>
  <si>
    <t>b.5- Cơ cấu chi lương trong chi SN giáo dục theo định mức dân số dân số từ 1 - 18 tuổi (%)</t>
  </si>
  <si>
    <t>- Định biên cán bộ, công chức cấp xã theo NĐ92</t>
  </si>
  <si>
    <t>Kinh phí mua thẻ BHYT cho người nghèo, DTTS vùng khó khăn; người đang sinh sống tại vùng ĐBKK, xã đảo, huyện đảo</t>
  </si>
  <si>
    <t>Kinh phí mua thẻ BHYT cho người hiến bộ phận cơ thể</t>
  </si>
  <si>
    <t xml:space="preserve">- Tỷ lệ phụ cấp các khoản đóng góp (BH, CĐ) </t>
  </si>
  <si>
    <t>- Tỷ lệ phụ cấp các khoản đóng góp (BH, CĐ) - %</t>
  </si>
  <si>
    <t>TỈNH QUẢNG NAM</t>
  </si>
  <si>
    <t xml:space="preserve">15. Kinh phí mua thẻ BHYTcho các đối tượng cựu chiến binh, người trực tiếp tham gia kháng chiến chống Mỹ cứu nước, người tham gia chiến tranh bảo vệ Tổ quốc, làm nhiệm vụ </t>
  </si>
  <si>
    <t>16. Hỗ trợ kinh phí thực hiện đối với đảng bộ cơ sở (lấy theo số phòng)</t>
  </si>
  <si>
    <t>17. Hỗ trợ kinh phí mua trang phục cho dân quân tự vệ (lấy theo số phòng)</t>
  </si>
  <si>
    <t>18. Hỗ trợ kinh phí mua trang phục tăng thêm theo Pháp lệnh công an xã (lấy theo số phòng)</t>
  </si>
  <si>
    <t xml:space="preserve">19. Hỗ trợ thực hiện Luật người cao tuổi, khuyết tật và chính sách bảo trợ xã hội NĐ136 </t>
  </si>
  <si>
    <t>20. Hỗ trợ chính sách trợ giá trực tiếp cho người dân tộc thiểu số nghèo</t>
  </si>
  <si>
    <t>21. Hỗ trợ khu dân cư văn hóa (lấy theo số phòng)</t>
  </si>
  <si>
    <t>22. Hỗ trợ nâng cấp đô thị, chia tách huyện, xã và đơn vị hành chính (lấy theo số phòng)</t>
  </si>
  <si>
    <t>23. Hỗ trợ bảo vệ và phát triển đất lúa</t>
  </si>
  <si>
    <t>24. Hỗ trợ huyện xã đảo</t>
  </si>
  <si>
    <t>25. Hỗ trợ chính sách miễn thu thủy lợi phí</t>
  </si>
  <si>
    <t>26. Hỗ trợ bù giảm thu, đảm bảo mặt bằng chi thường xuyên (lấy theo số của phòng)</t>
  </si>
  <si>
    <t>27. Hỗ trợ bù giảm thu theo NĐ209 (lấy theo số của phòng)</t>
  </si>
  <si>
    <t>Bổ sung đảm bảo cơ cấu 82-18</t>
  </si>
  <si>
    <t xml:space="preserve">f. Chế độ bồi dưỡng phục vụ hoạt động cấp uỷ thuộc cấp tỉnh theo Quy định số 3115-QĐ/VPTW </t>
  </si>
  <si>
    <t>Bổ sung đảm bảo chi khác chiếm 25%</t>
  </si>
  <si>
    <t>- Xã (tỉnh giáp 02 tỉnh nước bạn phân bổ hệ số 1,4 lần)</t>
  </si>
  <si>
    <t>Bổ sung tỉnh có biên giới đất liền (tỉnh giáp 02 tỉnh nước bạn phân bổ hệ số 1,4 lần)</t>
  </si>
  <si>
    <t>2- Thu phân chia</t>
  </si>
  <si>
    <t xml:space="preserve"> - Thu điều tiết (phần NSĐP hưởng)</t>
  </si>
  <si>
    <t xml:space="preserve"> - Thu điều tiết (phần NSTW hưởng)</t>
  </si>
  <si>
    <t xml:space="preserve"> -Tỷ lệ điều tiết phần NSĐP hưởng</t>
  </si>
  <si>
    <t>Trong đó: Chi trả nợ gốc các khoản vay đầu tư các năm trước</t>
  </si>
  <si>
    <t>D. BỘI CHI NSĐP/BỘI THU NSĐP</t>
  </si>
  <si>
    <t>UTH 2016 (TW)/ DT 2016</t>
  </si>
  <si>
    <t>DT 2017 (TW)/ DT 2016</t>
  </si>
  <si>
    <t>28. Hỗ trợ một số chế độ, chính sách do NSĐP đảm bảo nhưng chưa đủ nguồn</t>
  </si>
  <si>
    <t>Quảng Nam</t>
  </si>
  <si>
    <t>Dự toán tỉnh</t>
  </si>
  <si>
    <t>Khối tỉnh</t>
  </si>
  <si>
    <t>Khối huyện</t>
  </si>
  <si>
    <t>Tổng dự toán tỉnh 2017</t>
  </si>
  <si>
    <t>9.3</t>
  </si>
  <si>
    <t>Mục tiêu</t>
  </si>
  <si>
    <t>8.3</t>
  </si>
  <si>
    <t>3.5</t>
  </si>
  <si>
    <t>Muc tiêu</t>
  </si>
  <si>
    <t>7.6</t>
  </si>
  <si>
    <t>Trợ cấp hằng tháng co TNXP</t>
  </si>
  <si>
    <t>Dự toán 2017 TW</t>
  </si>
  <si>
    <t>Tổng dự toán TW 2017</t>
  </si>
  <si>
    <t>4=5+6</t>
  </si>
  <si>
    <t>Học bổng cho học sinh dân tộc nội trú</t>
  </si>
  <si>
    <t>Học bổng cho học sinh dân tộc bán trú</t>
  </si>
  <si>
    <t>2.7</t>
  </si>
  <si>
    <t>3.4</t>
  </si>
  <si>
    <t>Trợ cấp hằng tháng cho TNXP</t>
  </si>
  <si>
    <t>So sánh</t>
  </si>
  <si>
    <t>7=3-4</t>
  </si>
  <si>
    <t>Chi sự nghiệp khoa học - công nghệ</t>
  </si>
  <si>
    <t>Trong đó bao gồm:</t>
  </si>
  <si>
    <t>Chi khác ngân sách (Hỗ trợ Hội, khác)</t>
  </si>
  <si>
    <t>Nghị quyết HĐND</t>
  </si>
  <si>
    <t>8=3-4</t>
  </si>
  <si>
    <t>TT</t>
  </si>
  <si>
    <t>Nội dung các khoản chi</t>
  </si>
  <si>
    <t>Chia ra</t>
  </si>
  <si>
    <t>Ngân sách tỉnh</t>
  </si>
  <si>
    <t>Ngân sách huyện, xã</t>
  </si>
  <si>
    <t>TỔNG CHI NSĐP</t>
  </si>
  <si>
    <t>TỔNG CHI CÂN ĐỐI NSĐP</t>
  </si>
  <si>
    <t>CHI ĐẦU TƯ PHÁT TRIỂN</t>
  </si>
  <si>
    <t>CHI THƯỜNG XUYÊN</t>
  </si>
  <si>
    <t>Trong đó, tiết kiệm chi thường xuyên để thực hiện CCTL</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</si>
  <si>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</si>
  <si>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</si>
  <si>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</si>
  <si>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</si>
  <si>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</si>
  <si>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</si>
  <si>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</si>
  <si>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QLHC, Đảng, đoàn thể</t>
  </si>
  <si>
    <t>Chi trợ giá</t>
  </si>
  <si>
    <t>Chi khác</t>
  </si>
  <si>
    <t>DỰ PHÒNG NGÂN SÁCH</t>
  </si>
  <si>
    <t>TỔNG HỢP DỰ TOÁN CHI NSĐP NĂM 2017</t>
  </si>
  <si>
    <t>Dự toán năm 2017</t>
  </si>
  <si>
    <t>Phân bổ</t>
  </si>
  <si>
    <t>Chưa phân bổ</t>
  </si>
  <si>
    <t>Đã phân bổ</t>
  </si>
  <si>
    <t>BTC</t>
  </si>
  <si>
    <t>Tổng cộng</t>
  </si>
  <si>
    <t>Tổng</t>
  </si>
  <si>
    <t>Tăng thêm</t>
  </si>
  <si>
    <t>Dự phòng</t>
  </si>
  <si>
    <t>Chi đầu tư XDCB vốn trong nước</t>
  </si>
  <si>
    <t>Chi đầu tư XDCB</t>
  </si>
  <si>
    <t>Chi từ nguồn vốn ngoài nước</t>
  </si>
  <si>
    <t>Chi từ nguồn CTMT quốc gia</t>
  </si>
  <si>
    <t>1.4</t>
  </si>
  <si>
    <t>1.5</t>
  </si>
  <si>
    <t>Chi từ nguồn vốn khác</t>
  </si>
  <si>
    <t xml:space="preserve"> - Nguồn vượt thu 2016</t>
  </si>
  <si>
    <t>Chi XDCB từ nguồn thu sử dụng đất</t>
  </si>
  <si>
    <t>Chi từ nguồn thu XSKT</t>
  </si>
  <si>
    <t>V</t>
  </si>
  <si>
    <t>CHI LẬP QUỸ DỰ TRỮ TÀI CHÍNH</t>
  </si>
  <si>
    <t>CHI TỪ NGUỒN TW BỔ SUNG</t>
  </si>
  <si>
    <t>VI</t>
  </si>
  <si>
    <t>VII</t>
  </si>
  <si>
    <t>CHI TỪ NGUỒN CTMTQG</t>
  </si>
  <si>
    <t>VIII</t>
  </si>
  <si>
    <t>Chi cấp vốn điều lệ cho các Quỹ</t>
  </si>
  <si>
    <t xml:space="preserve"> - Nguồn vốn thực hiện NQ 05</t>
  </si>
  <si>
    <t xml:space="preserve"> - Thực hiện KCHKM, GTNT</t>
  </si>
  <si>
    <t xml:space="preserve"> - Đầu tư khác</t>
  </si>
  <si>
    <t>Chi trả nợ vay đến hạn</t>
  </si>
  <si>
    <t xml:space="preserve"> - Nguồn vượt thu năm 2015 thực hiện CCTL TW cho sử dụng</t>
  </si>
  <si>
    <t>Chi Quốc phòng</t>
  </si>
  <si>
    <t xml:space="preserve"> -</t>
  </si>
  <si>
    <t>Chi sự nghiệp đào tạo và dạy nghề</t>
  </si>
  <si>
    <t>Chi Sự nghiệp giáo dục</t>
  </si>
  <si>
    <t>Trợ cấp hằng tháng cho TNXP, Chúc thọ mừng thọ; Trung tâm BTXH Đại Lộc</t>
  </si>
  <si>
    <t>Ngoài định mức, BSMT</t>
  </si>
  <si>
    <t xml:space="preserve">       Trong đó: dự nguồn cho xúc tiến đầu tư nước ngoài</t>
  </si>
  <si>
    <t xml:space="preserve">CHI TỪ NGUỒN THU CHUYỂN NGUỒN NĂM TRƯỚC ĐỂ TẠO NGUỒN ĐIỀU CHỈNH CẢI CÁCH TIỀN LƯƠNG </t>
  </si>
  <si>
    <t>Chi đầu tư từ bội chi NSĐP</t>
  </si>
  <si>
    <t>Chế độ cho giáo viên theo NĐ 116</t>
  </si>
  <si>
    <t xml:space="preserve">Ngoài định mức, BSMT </t>
  </si>
  <si>
    <t>Trong đó: Tiết kiệm CTX</t>
  </si>
  <si>
    <t xml:space="preserve">      Trong đó: Tiết kiệm CTX</t>
  </si>
  <si>
    <t>Chế độ, chính sách</t>
  </si>
  <si>
    <t>Tiết kiệm 10% CTX khối tỉnh</t>
  </si>
  <si>
    <t xml:space="preserve">    Trong đó TK 10% CTX</t>
  </si>
  <si>
    <t>10.1</t>
  </si>
  <si>
    <t>10.2</t>
  </si>
  <si>
    <t>10.3</t>
  </si>
  <si>
    <t xml:space="preserve">       Đề án về Y tế</t>
  </si>
  <si>
    <t xml:space="preserve">     Tiết kiệm 10% CTX ngân sách</t>
  </si>
  <si>
    <t>14.1</t>
  </si>
  <si>
    <t>14.2</t>
  </si>
  <si>
    <t xml:space="preserve">  Định mức</t>
  </si>
  <si>
    <t xml:space="preserve"> Ngoài định mức, BSMT</t>
  </si>
  <si>
    <t>TW 2017</t>
  </si>
  <si>
    <t>Dự nguồn Quỹ thi đua khen thưởng và khác</t>
  </si>
  <si>
    <t>Tiết kiệm 10% CTX</t>
  </si>
  <si>
    <t>IX</t>
  </si>
  <si>
    <t xml:space="preserve">Trợ cấp hằng tháng cho TNXP. Chúc thọ, mừng thọ, Trung tâm BTXH </t>
  </si>
  <si>
    <t>Theo định mức</t>
  </si>
  <si>
    <t>Nguồn chuyển nguồn</t>
  </si>
  <si>
    <t>Nguồn CCTL năm 2015 TW cho sử dụng chuyển sang 2017</t>
  </si>
  <si>
    <t>Thực hiện NQ HĐND tỉnh</t>
  </si>
  <si>
    <t>CHI TỪ NGUỒN THU PHÍ BẢO VỆ MÔI TRƯỜNG KHAI THÁC KHOÁNG SẢN</t>
  </si>
  <si>
    <t xml:space="preserve"> - Tổng thể sắp xếp dân cư, phòng tránh và giảm nhẹ thiệt hại thiên tai ven biển tỉnh Quảng Nam</t>
  </si>
  <si>
    <t xml:space="preserve"> - Hỗ trợ đầu tư kết cấu hạ tầng thiết yếu đảm bảo an sinh xã hội trên địa bàn tỉnh và đầu tư khác</t>
  </si>
  <si>
    <t xml:space="preserve">Chế độ cho giáo viên theo NĐ 116 </t>
  </si>
  <si>
    <t xml:space="preserve"> - </t>
  </si>
  <si>
    <t>Trong đó</t>
  </si>
  <si>
    <t>Dự toán năm 2018</t>
  </si>
  <si>
    <t>TỔNG HỢP DỰ TOÁN CHI NSĐP NĂM 2018</t>
  </si>
  <si>
    <t>Ngân sách tỉnh năm 2018</t>
  </si>
  <si>
    <t>CHI TỪ NGUỒN KINH PHÍ NĂM TRƯỚC CHUYỂN SANG ĐỂ THỰC HIỆN CÁC NQ CỦA HĐND TỈNH BAN HÀNH THÁNG 12/2017</t>
  </si>
  <si>
    <t>Nguồn tăng thu NS huyện</t>
  </si>
  <si>
    <t>Nguồn tăng thu NS tỉnh</t>
  </si>
  <si>
    <t>Chi từ nguồn TW bổ sung vốn trong nước (bao gồm TPCP)</t>
  </si>
  <si>
    <t>Nguồn TW bổ sung có mục tiêu</t>
  </si>
  <si>
    <t xml:space="preserve"> - Chương trình MTQG Giảm nghèo bền vững</t>
  </si>
  <si>
    <t xml:space="preserve"> - Chương trình MTQG xây dựng NTM</t>
  </si>
  <si>
    <t>Chương trình mục tiêu</t>
  </si>
  <si>
    <t>Giáo dục, nghề nghiệp và việc làm</t>
  </si>
  <si>
    <t>trợ giúp xã hội</t>
  </si>
  <si>
    <t>Y tế, dân số</t>
  </si>
  <si>
    <t>Văn hóa</t>
  </si>
  <si>
    <t>ATGT, phòng chống tội phạm, ma túy</t>
  </si>
  <si>
    <t>Phát triển lâm nghiệp bền vững</t>
  </si>
  <si>
    <t>Tái cơ cấu nông nghiệp, giảm nhẹ thiên tai</t>
  </si>
  <si>
    <t>Các nhiệm vụ mục tiêu khác</t>
  </si>
  <si>
    <t>Hội VHNT và mua thiết bị chiếu bóng</t>
  </si>
  <si>
    <t>Trợ giúp pháp lý</t>
  </si>
  <si>
    <t>ATGT</t>
  </si>
  <si>
    <t>Hỗ trợ các nhiệm vụ, chính sách khác</t>
  </si>
  <si>
    <t>Vốn sự nghiệp ngoài nước</t>
  </si>
  <si>
    <t>Nguồn vượt thu</t>
  </si>
  <si>
    <t>Nguồn vốn sự nghiệp môi trường.</t>
  </si>
  <si>
    <t>Nguồn chuyển nguồn năm 2017 sang</t>
  </si>
  <si>
    <t>Nguồn CCTL</t>
  </si>
  <si>
    <t>Định mức và mục tiêu trong cân đối</t>
  </si>
  <si>
    <t>Chi từ nguồn tăng thu dự toán ngân sách tỉnh còn lại</t>
  </si>
  <si>
    <t>Tổng nguồn năm 2018</t>
  </si>
  <si>
    <t>Bằng 2017</t>
  </si>
  <si>
    <t>TW bổ sung</t>
  </si>
  <si>
    <t>Tăng thu tỉnh</t>
  </si>
  <si>
    <t>Tăng thu huyện</t>
  </si>
  <si>
    <t>Chuyển nguồn</t>
  </si>
  <si>
    <t>Giảm</t>
  </si>
  <si>
    <t>Tăng</t>
  </si>
  <si>
    <t>Tổng cộng khối tỉnh</t>
  </si>
  <si>
    <t>Nguồn tăng thu dự toán</t>
  </si>
  <si>
    <t>Nguồn chuyển nguồn năm 2017</t>
  </si>
  <si>
    <t>Nguồn TW bổ sung</t>
  </si>
  <si>
    <t>Nguồn cân đối</t>
  </si>
  <si>
    <t>Nguồn XDCBTT</t>
  </si>
  <si>
    <t>Nguồn XSKT</t>
  </si>
  <si>
    <t>Nguồn khác</t>
  </si>
  <si>
    <t>DT 2017</t>
  </si>
  <si>
    <t>DT 2018</t>
  </si>
  <si>
    <t>Ổn định</t>
  </si>
  <si>
    <t>Tổng nguồn TW bổ sung</t>
  </si>
  <si>
    <t>CPB</t>
  </si>
  <si>
    <t>Trợ giúp xã hội</t>
  </si>
  <si>
    <t>Tổng nguồn chuyển nguồn bố trí lại</t>
  </si>
  <si>
    <t>Nhà ở NCC</t>
  </si>
  <si>
    <t>Mua thẻ BHYT cho hộ nông, ngư, diêm nghiệp…</t>
  </si>
  <si>
    <t>Tiên điện hộ nghèo</t>
  </si>
  <si>
    <t>Kinh phí thực hiện NĐ 86</t>
  </si>
  <si>
    <t>Các chính sách (nguồn chuyển nguồn)</t>
  </si>
  <si>
    <t xml:space="preserve"> Ngoài định mức, BSMT, Trang phục Công an xã</t>
  </si>
  <si>
    <t>Tổng cộng 2018</t>
  </si>
  <si>
    <t>BSMT</t>
  </si>
  <si>
    <t>Nghị quyết về đội công tác xã hội</t>
  </si>
  <si>
    <t>Nguồn tăng thu SN tỉnh</t>
  </si>
  <si>
    <t>Trợ cấp hằng tháng cho TNXP. Chúc thọ, mừng thọ.</t>
  </si>
  <si>
    <t>DỰ TOÁN CHI NGÂN SÁCH ĐỊA PHƯƠNG THEO CƠ CẤU CHI NĂM 2018</t>
  </si>
  <si>
    <t>Tuyệt đối</t>
  </si>
  <si>
    <t>Tương đối (%)</t>
  </si>
  <si>
    <t>3=2-1</t>
  </si>
  <si>
    <t>4=2/1</t>
  </si>
  <si>
    <t>CHI CÂN ĐỐI NSĐP</t>
  </si>
  <si>
    <t>Chi đầu tư phát triển (1)</t>
  </si>
  <si>
    <t xml:space="preserve">Chi đầu tư cho các dự án </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</si>
  <si>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</si>
  <si>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</si>
  <si>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</si>
  <si>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</si>
  <si>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</si>
  <si>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</si>
  <si>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</si>
  <si>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</si>
  <si>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</si>
  <si>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</si>
  <si>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</si>
  <si>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</si>
  <si>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</si>
  <si>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</si>
  <si>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</si>
  <si>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</si>
  <si>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</si>
  <si>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</si>
  <si>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</si>
  <si>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</si>
  <si>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</si>
  <si>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</si>
  <si>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CTMT đảm bảo trật tự ATGT, phòng cháy, chữa cháy, phòng, chống tội phạm và ma túy</t>
  </si>
  <si>
    <t>CTMT tiêu tái cơ cấu kinh tế nông nghiệp và phòng chống giảm nhẹ thiên tai, ổn định đời sống dân cư</t>
  </si>
  <si>
    <t xml:space="preserve">CTMT Phát triển văn hóa </t>
  </si>
  <si>
    <t xml:space="preserve">CTMT Y tế - Dân số </t>
  </si>
  <si>
    <t xml:space="preserve">CTMT giáo dục nghề nghiệp - Việc làm và An toàn lao động </t>
  </si>
  <si>
    <t xml:space="preserve">CTMT phát triển Lâm nghiệp bền vững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</si>
  <si>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</si>
  <si>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</si>
  <si>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</si>
  <si>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</si>
  <si>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</si>
  <si>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</si>
  <si>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</si>
  <si>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</si>
  <si>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</si>
  <si>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</si>
  <si>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</si>
  <si>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</si>
  <si>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</si>
  <si>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</si>
  <si>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</si>
  <si>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</si>
  <si>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</si>
  <si>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</si>
  <si>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</si>
  <si>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</si>
  <si>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(3) Đối với các chỉ tiêu thu NSĐP, so sánh dự toán năm kế hoạch với ước thực hiện năm hiện hành. Đối với các chỉ tiêu chi NSĐP, so sánh dự toán năm kế hoạch với dự toán năm hiện hành.</t>
  </si>
  <si>
    <t>Ngân sách địa phương</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</si>
  <si>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</si>
  <si>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</si>
  <si>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</si>
  <si>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</si>
  <si>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</si>
  <si>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</si>
  <si>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</si>
  <si>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</si>
  <si>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</si>
  <si>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</si>
  <si>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</si>
  <si>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</si>
  <si>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</si>
  <si>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</si>
  <si>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r>
      <t>Ghi chú:</t>
    </r>
    <r>
      <rPr>
        <i/>
        <sz val="13"/>
        <color rgb="FF000000"/>
        <rFont val="Times New Roman"/>
        <family val="1"/>
      </rPr>
      <t xml:space="preserve"> (1) Ngân sách xã không có nhiệm vụ chi bổ sung cân đối cho ngân sách cấp dưới.</t>
    </r>
  </si>
  <si>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</si>
  <si>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</si>
  <si>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Tên đơn vị (1)</t>
  </si>
  <si>
    <t>Tổng chi ngân sách địa phương</t>
  </si>
  <si>
    <t>Tổng chi cân đối ngân sách địa phương</t>
  </si>
  <si>
    <t>Chi chương trình mục tiêu</t>
  </si>
  <si>
    <t>Tổng số</t>
  </si>
  <si>
    <t>Chi đầu tư phát triển</t>
  </si>
  <si>
    <t>Bổ sung vốn đầu tư để thực hiện các chương trình mục tiêu, nhiệm vụ</t>
  </si>
  <si>
    <t>Bổ sung vốn sự nghiệp thực hiện các chế độ, chính sách</t>
  </si>
  <si>
    <t>Bổ sung thực hiện các chương trình mục tiêu quốc gia</t>
  </si>
  <si>
    <t>Chi đầu tư từ nguồn vốn trong nước</t>
  </si>
  <si>
    <t>Chi giáo dục, đào tạo và dạy nghề</t>
  </si>
  <si>
    <t>1=2+15 +19</t>
  </si>
  <si>
    <t>2=3+9+ 12+13+14</t>
  </si>
  <si>
    <t>3=6+7+8</t>
  </si>
  <si>
    <t>15=16+ 17+18</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</si>
  <si>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</si>
  <si>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</si>
  <si>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</si>
  <si>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</si>
  <si>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</si>
  <si>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</si>
  <si>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</si>
  <si>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</si>
  <si>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</si>
  <si>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</si>
  <si>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</si>
  <si>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</si>
  <si>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r>
      <t>Ghi chú:</t>
    </r>
    <r>
      <rPr>
        <i/>
        <sz val="13"/>
        <color rgb="FF000000"/>
        <rFont val="Times New Roman"/>
        <family val="1"/>
      </rPr>
      <t xml:space="preserve"> (1) Theo quy định tại Điều 7, Điều 11 Luật NSNN, ngân sách huyện không có thu từ quỹ dự trữ tài chính, bội chi NSĐP.</t>
    </r>
  </si>
  <si>
    <t>(2) Ngân sách xã không có nhiệm vụ chi bổ sung cho ngân sách cấp dưới.</t>
  </si>
  <si>
    <t>CÂN ĐỐI NGÂN SÁCH ĐỊA PHƯƠNG NĂM 2018</t>
  </si>
  <si>
    <t>Ước thực hiện năm 2017</t>
  </si>
  <si>
    <t>CÂN ĐỐI NGUỒN THU, CHI DỰ TOÁN NGÂN SÁCH CẤP TỈNH VÀ NGÂN SÁCH HUYỆN NĂM 2018</t>
  </si>
  <si>
    <t>DỰ TOÁN CHI NGÂN SÁCH CẤP TỈNH THEO LĨNH VỰC NĂM 2018</t>
  </si>
  <si>
    <t>DỰ TOÁN CHI NGÂN SÁCH ĐỊA PHƯƠNG TỪNG HUYỆN NĂM 2018</t>
  </si>
  <si>
    <t>DỰ TOÁN BỔ SUNG CÓ MỤC TIÊU TỪ NGÂN SÁCH CẤP TỈNH CHO NGÂN SÁCH TỪNG HUYỆN NĂM 2018</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</si>
  <si>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</si>
  <si>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</si>
  <si>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</si>
  <si>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</si>
  <si>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</si>
  <si>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</si>
  <si>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Trong đó: thu từ nguồn thu được để lại quản lý qua ngân sách</t>
  </si>
  <si>
    <t xml:space="preserve">NGÂN SÁCH CẤP TỈNH </t>
  </si>
  <si>
    <t>Chi thuộc nhiệm vụ của ngân sách cấp tỉnh</t>
  </si>
  <si>
    <t>Bội chi NSĐP</t>
  </si>
  <si>
    <t>Chi từ nguồn dự phòng năm 2017 chuyển sang</t>
  </si>
  <si>
    <t>Nguồn chuyển nguồn chuyển vào cân đối</t>
  </si>
  <si>
    <t>DỰ TOÁN CHI NGÂN SÁCH ĐỊA PHƯƠNG, CHI NGÂN SÁCH CẤP TỈNH VÀ CHI NGÂN SÁCH HUYỆN THEO CƠ CẤU CHI NĂM 2018</t>
  </si>
  <si>
    <t>Chi QLNN, Đảng, đoàn thể</t>
  </si>
  <si>
    <t>Trong đó: Thu để lại quản lý qua NSNN</t>
  </si>
  <si>
    <t>Nguồn tăng thu NS huyện, tỉnh</t>
  </si>
  <si>
    <t>Nguồn để lại</t>
  </si>
  <si>
    <t xml:space="preserve"> - Phí tham quan</t>
  </si>
  <si>
    <t xml:space="preserve"> - Thu đóng góp</t>
  </si>
  <si>
    <t>Chi đầu tư từ nguồn vốn khác (sự nghiệp môi trường, tăng thu, tiết kiệm chi)</t>
  </si>
  <si>
    <t>Chi đầu tư từ nguồn thu huy động khác</t>
  </si>
  <si>
    <t>Trong đó: dự toán HĐND giao đầu năm</t>
  </si>
  <si>
    <t xml:space="preserve">Chế độ theo NĐ 116 </t>
  </si>
  <si>
    <t>Chi trả lãi vay</t>
  </si>
  <si>
    <t>Chi cấp vốn Điều lệ cho các Quỹ</t>
  </si>
  <si>
    <t>Chi từ nguồn tăng thu mới năm 2018 được cấp lại</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</si>
  <si>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</si>
  <si>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</si>
  <si>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</si>
  <si>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</si>
  <si>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</si>
  <si>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</si>
  <si>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</si>
  <si>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</si>
  <si>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</si>
  <si>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</si>
  <si>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</si>
  <si>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</si>
  <si>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</si>
  <si>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</si>
  <si>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</si>
  <si>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</si>
  <si>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</si>
  <si>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</si>
  <si>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</si>
  <si>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thu khác (nếu có)</t>
  </si>
  <si>
    <t>Chi tạo nguồn cải cách tiền lương và chi từ nguồn CCTL</t>
  </si>
  <si>
    <t>Chi tạo nguồn CCTL và chi từ nguồn CCTL</t>
  </si>
  <si>
    <t>Chi tạo nguồn CCTL, chi từ nguồn CCTL</t>
  </si>
  <si>
    <t>Biểu mẫu số 09</t>
  </si>
  <si>
    <t>DỰ KIẾN CÂN ĐỐI NGUỒN THU, CHI NGÂN SÁCH CẤP TỈNH VÀ NGÂN SÁCH HUYỆN GIAI ĐOẠN 03 NĂM 2018-2020</t>
  </si>
  <si>
    <t>Dự toán ngân sách năm 2018</t>
  </si>
  <si>
    <t>Dự kiến ngân sách năm 2019</t>
  </si>
  <si>
    <t>Dự kiến ngân sách năm 2020</t>
  </si>
  <si>
    <t>NGÂN SÁCH CẤP TỈNH</t>
  </si>
  <si>
    <t>Nguồn thu ngân sách</t>
  </si>
  <si>
    <t>Bội chi NSĐP/Bội thu NSĐP</t>
  </si>
  <si>
    <t>Chi thuộc nhiệm vụ của ngân sách huyện</t>
  </si>
  <si>
    <t>Biểu mẫu số 10</t>
  </si>
  <si>
    <t>DỰ KIẾN CHI NGÂN SÁCH CẤP TỈNH THEO CƠ CẤU CHI GIAI ĐOẠN 03 NĂM 2018-2020</t>
  </si>
  <si>
    <t>3=2/1</t>
  </si>
  <si>
    <t>TỔNG CHI NGÂN SÁCH CẤP TỈNH</t>
  </si>
  <si>
    <t>CHI BỔ SUNG CHO NGÂN SÁCH HUYỆN</t>
  </si>
  <si>
    <t>Chi đầu tư và hỗ trợ vốn cho các doanh nghiệp cung cấp sản phẩm, dịch vụ công ích do Nhà nước đặt hàng, các tổ chức kinh tế, các tổ chức tài chính của địa phương theo quy định của pháp luật.</t>
  </si>
  <si>
    <t xml:space="preserve">Chi thường xuyên </t>
  </si>
  <si>
    <r>
      <t>Ghi chú:</t>
    </r>
    <r>
      <rPr>
        <i/>
        <sz val="13"/>
        <color rgb="FF000000"/>
        <rFont val="Times New Roman"/>
        <family val="1"/>
      </rPr>
      <t xml:space="preserve"> (1) Năm đầu thời kỳ ấn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</si>
  <si>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 Năm N là năm dự toán ngân sách; theo đó, các năm N-1, N+1 và N+2 là năm trước, năm sau và năm sau nữa của năm dự toán ngân sách.</t>
  </si>
  <si>
    <t>Đất</t>
  </si>
  <si>
    <t>XSKT</t>
  </si>
  <si>
    <t>Tăng thu 2019/2018</t>
  </si>
  <si>
    <t>Còn lại 50%</t>
  </si>
  <si>
    <t>ĐT</t>
  </si>
  <si>
    <t>CTX</t>
  </si>
  <si>
    <t>ĐTXDCB NSTT</t>
  </si>
  <si>
    <t>Tỉnh</t>
  </si>
  <si>
    <t>Huyện</t>
  </si>
  <si>
    <t>Bội chi 2019-2020</t>
  </si>
  <si>
    <t>Vay</t>
  </si>
  <si>
    <t>Chi dự phòng, chi trích lập Quỹ DTTC, chi trả lãi vay</t>
  </si>
  <si>
    <t>Tổng cộng 3 năm</t>
  </si>
  <si>
    <t>DỰ KIẾN CHI NGÂN SÁCH CẤP TỈNH THEO CƠ CẤU CHI 
GIAI ĐOẠN 03 NĂM 2018-2020</t>
  </si>
  <si>
    <t xml:space="preserve">   - Sự nghiệp GD&amp;ĐT</t>
  </si>
  <si>
    <t xml:space="preserve">  - Sự nghiệp Y tế</t>
  </si>
  <si>
    <t xml:space="preserve">   - Sự nghiệp VHTT-TDTT-PTTH</t>
  </si>
  <si>
    <t xml:space="preserve">  - Sự nghiệp Đảm bảo xã hội</t>
  </si>
  <si>
    <t xml:space="preserve">   - QLHC</t>
  </si>
  <si>
    <t xml:space="preserve">  - Sự nghiệp Kinh tế, KHCN, SNMT…</t>
  </si>
  <si>
    <t xml:space="preserve">   - Sự nghiệp Quốc phòng</t>
  </si>
  <si>
    <t xml:space="preserve">   - Sự nghiệp An ninh</t>
  </si>
  <si>
    <t>Thực hiện điều chỉnh cải cách tiền lương</t>
  </si>
  <si>
    <t>Bố trí nhiệm vụ chi phần NSTW đảm bảo</t>
  </si>
  <si>
    <t>TỔNG CỘNG</t>
  </si>
  <si>
    <t>TAM KỲ</t>
  </si>
  <si>
    <t>HỘI AN</t>
  </si>
  <si>
    <t>ĐIỆN BÀN</t>
  </si>
  <si>
    <t>DUY XUYÊN</t>
  </si>
  <si>
    <t>ĐẠI LỘC</t>
  </si>
  <si>
    <t>NÚI THÀNH</t>
  </si>
  <si>
    <t>THĂNG BÌNH</t>
  </si>
  <si>
    <t>PHÚ NINH</t>
  </si>
  <si>
    <t>QUẾ SƠN</t>
  </si>
  <si>
    <t>NÔNG SƠN</t>
  </si>
  <si>
    <t>TIÊN PHƯỚC</t>
  </si>
  <si>
    <t>HIỆP ĐỨC</t>
  </si>
  <si>
    <t>NAM GIANG</t>
  </si>
  <si>
    <t>PHƯỚC SƠN</t>
  </si>
  <si>
    <t>ĐÔNG GIANG</t>
  </si>
  <si>
    <t>TÂY GIANG</t>
  </si>
  <si>
    <t>BẮC TRÀ MY</t>
  </si>
  <si>
    <t>NAM TRÀ MY</t>
  </si>
  <si>
    <t>NSTT</t>
  </si>
  <si>
    <t>Khác</t>
  </si>
  <si>
    <t>Chi đầu tư từ nguồn đất</t>
  </si>
  <si>
    <t>Chi GD&amp;ĐT</t>
  </si>
  <si>
    <t>Chi dự phòng</t>
  </si>
  <si>
    <t>1450; 406081; 11901</t>
  </si>
  <si>
    <t>4=1+2+3</t>
  </si>
  <si>
    <t xml:space="preserve">Chi trả nợ lãi, phí các khoản do chính quyền địa phương vay </t>
  </si>
  <si>
    <t>Khoa học công nghệ</t>
  </si>
  <si>
    <t>ĐT (30%)</t>
  </si>
  <si>
    <t>Chi đầu tư từ nguồn khác (XSKT, ĐB, Phí tham quan, yến)</t>
  </si>
  <si>
    <t>Nguồn TW bổ sung, XSKT</t>
  </si>
  <si>
    <t>Tổng chi</t>
  </si>
  <si>
    <t>Tổng thu</t>
  </si>
  <si>
    <t>Bội Chi</t>
  </si>
  <si>
    <t>Thu cân đối NSĐP không bao gồm nguồn thu sử dụng đất, XSKT, thu để lại chi theo quy định</t>
  </si>
  <si>
    <t>Chi trả nợ lãi, phí các khoản do chính quyền địa phương vay</t>
  </si>
  <si>
    <t xml:space="preserve">BỘI CHI NSĐP/BỘI THU NSĐP </t>
  </si>
  <si>
    <t>CHI TRẢ NỢ GỐC CỦA NSĐP</t>
  </si>
  <si>
    <t>TỔNG MỨC VAY CỦA NSĐP</t>
  </si>
  <si>
    <r>
      <t>Ghi chú:</t>
    </r>
    <r>
      <rPr>
        <i/>
        <sz val="13"/>
        <color rgb="FF000000"/>
        <rFont val="Times New Roman"/>
        <family val="1"/>
      </rPr>
      <t xml:space="preserve"> (1) Đối với các chỉ tiêu thu NSĐP, so sánh dự toán năm kế hoạch với ước thực hiện năm hiện hành. Đối với các chỉ tiêu chi NSĐP, so sánh dự toán năm kế hoạch với dự toán năm hiện hành.</t>
    </r>
  </si>
  <si>
    <t xml:space="preserve">CHI BỔ SUNG CÂN ĐỐI CHO NGÂN SÁCH CẤP DƯỚI </t>
  </si>
  <si>
    <t xml:space="preserve">Chi đầu tư phát triển  </t>
  </si>
  <si>
    <t xml:space="preserve">Tên đơn vị </t>
  </si>
  <si>
    <t xml:space="preserve">Chi đầu tư phát triển </t>
  </si>
  <si>
    <t xml:space="preserve">Chi ứng dụng khoa học và công nghệ </t>
  </si>
  <si>
    <t>Chi dự phòng, chi trích lập Quỹ DTTC, chi trả lãi nợ lãi, phí các khoản do chính quyền địa phương vay</t>
  </si>
  <si>
    <t>Biểu mẫu số 06</t>
  </si>
  <si>
    <t>DỰ TOÁN CHI CỦA NGÂN SÁCH CẤP TỈNH CHO TỪNG CƠ QUAN, TỔ CHỨC THEO LĨNH VỰC NĂM 2018</t>
  </si>
  <si>
    <t>Đơn vị, Ngành</t>
  </si>
  <si>
    <t>DT thu cân đối ngân sách</t>
  </si>
  <si>
    <t>Tổng dự toán chi ngân sách</t>
  </si>
  <si>
    <t>Chi hoạt động của cơ quan quản lý nhà nước, đảng, đoàn thể</t>
  </si>
  <si>
    <t>Chi khoa học công nghệ</t>
  </si>
  <si>
    <t>Chi VHTT, TDTT, PTTH</t>
  </si>
  <si>
    <t>Cấp vốn điều lệ</t>
  </si>
  <si>
    <t>Chi thường xuyên khác</t>
  </si>
  <si>
    <t>Trung ương bổ sung mục tiêu</t>
  </si>
  <si>
    <t xml:space="preserve">Chuyển nguồn </t>
  </si>
  <si>
    <t>GD</t>
  </si>
  <si>
    <t>Cộng</t>
  </si>
  <si>
    <t>Các Sở, ban, ngành thuộc tỉnh</t>
  </si>
  <si>
    <t>Văn phòng HĐND tỉnh</t>
  </si>
  <si>
    <t>Văn phòng UBND tỉnh</t>
  </si>
  <si>
    <t>Văn phòng Tỉnh ủy</t>
  </si>
  <si>
    <t>Sở Nông nghiệp và PT nông thôn</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</si>
  <si>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</si>
  <si>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</si>
  <si>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</si>
  <si>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</si>
  <si>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</si>
  <si>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</si>
  <si>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</si>
  <si>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</si>
  <si>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</si>
  <si>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</si>
  <si>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</si>
  <si>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</si>
  <si>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</si>
  <si>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</si>
  <si>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</si>
  <si>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</si>
  <si>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</si>
  <si>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</si>
  <si>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</si>
  <si>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</si>
  <si>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</si>
  <si>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</si>
  <si>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Văn phòng Đại diện tại Hà Nội</t>
  </si>
  <si>
    <t>Trường Đại học Quảng Nam</t>
  </si>
  <si>
    <t>Trường Cao đẳng Y tế</t>
  </si>
  <si>
    <t>Trường Cao đẳng Kinh tế Kỹ thuật</t>
  </si>
  <si>
    <t xml:space="preserve">Trường Chính trị </t>
  </si>
  <si>
    <t>Trường Cao đẳng nghề</t>
  </si>
  <si>
    <t>Bố trí để thực hiện các nhiệm vụ, chế độ, chính sách (chưa đủ điều kiện phân bổ)</t>
  </si>
  <si>
    <t>Sự nghiệp GD&amp;ĐT</t>
  </si>
  <si>
    <t xml:space="preserve"> - Thực hiện chế độ phụ cấp thu hút, trợ cấp lần đầu, chuyển vùng theo Nghị định 116/2010/NĐ-CP</t>
  </si>
  <si>
    <t xml:space="preserve"> - Quỹ tiền lương tăng của giáo viên tuyển mới</t>
  </si>
  <si>
    <t xml:space="preserve"> - Đề án thoát nghèo bền vững tỉnh Quảng Nam</t>
  </si>
  <si>
    <t xml:space="preserve"> - Đào tạo, bồi dưỡng</t>
  </si>
  <si>
    <t>Sự nghiệp y tế</t>
  </si>
  <si>
    <t>An ninh, quốc phòng</t>
  </si>
  <si>
    <t xml:space="preserve"> - Diễn tập theo cơ chế A2</t>
  </si>
  <si>
    <t xml:space="preserve"> - Lớp trung cấp chuyên nghiêp ngành quản lý xã hội</t>
  </si>
  <si>
    <t>Sự nghiệp VHTT-TDTT-PTTH</t>
  </si>
  <si>
    <t xml:space="preserve"> - Lễ hội văn hóa thể thao các huyện miền núi</t>
  </si>
  <si>
    <t xml:space="preserve"> - Đại hội thể dục thể thao cấp tỉnh</t>
  </si>
  <si>
    <t xml:space="preserve"> - Hỗ trợ công tác di chuyển trường Trung cấp Văn hóa</t>
  </si>
  <si>
    <t>Sự nghiệp đảm bảo xã hội</t>
  </si>
  <si>
    <t xml:space="preserve"> - Đề án về Đội công tác xã hội</t>
  </si>
  <si>
    <t xml:space="preserve"> - Nghị quyết thoát nghèo bền vững tỉnh Quảng Nam</t>
  </si>
  <si>
    <t xml:space="preserve"> - Đề án cộng tác viên gia đình</t>
  </si>
  <si>
    <t xml:space="preserve"> - Chế độ mai táng phí cho các đối tượng theo quy định</t>
  </si>
  <si>
    <t xml:space="preserve"> - Kinh phí qui hoạch</t>
  </si>
  <si>
    <t xml:space="preserve"> - Kinh phí đo đạc</t>
  </si>
  <si>
    <t xml:space="preserve"> - Nghị quyết 12/2016/NQ-HĐND về phát triển miền núi</t>
  </si>
  <si>
    <t xml:space="preserve"> - Đào tạo nghề cho lao động nông thôn</t>
  </si>
  <si>
    <t xml:space="preserve"> - Kinh phí xúc tiến đầu tư</t>
  </si>
  <si>
    <t>Chi sự nghiêp môi trường (chi phí đốt rác tại các lò đốt và chi phí xử lý rác tăng tại các bãi rác)</t>
  </si>
  <si>
    <t>Chi quản lý hành chính</t>
  </si>
  <si>
    <t xml:space="preserve"> - Mua xe ôtô</t>
  </si>
  <si>
    <t xml:space="preserve"> - Mua sắm, sửa chữa trụ sở làm việc </t>
  </si>
  <si>
    <t xml:space="preserve"> - Kinh phí lập quỹ khen thưởng theo Nghị định 91/2017/NĐ-CP</t>
  </si>
  <si>
    <t>Trung tâm hành chính công và Xúc tiến đầu tư</t>
  </si>
  <si>
    <t>Quỹ Bảo trì đường bộ</t>
  </si>
  <si>
    <t>Ban quản lý Dự án BBC tỉnh</t>
  </si>
  <si>
    <t>Khối Đảng, AN-QP, hỗ trợ khác</t>
  </si>
  <si>
    <t>BCH Bộ đội Biên phòng tỉnh</t>
  </si>
  <si>
    <t>BCH Quân sự tỉnh</t>
  </si>
  <si>
    <t>Cục Thống kê</t>
  </si>
  <si>
    <t>Bảo hiểm xã hội tỉnh</t>
  </si>
  <si>
    <t>Công ty TNHH MTV Khai thác công trình thủy lợi</t>
  </si>
  <si>
    <t>Hỗ trợ khác</t>
  </si>
  <si>
    <t>Biểu mẫu số 14</t>
  </si>
  <si>
    <t>Biểu mẫu số 02</t>
  </si>
  <si>
    <t>Biểu mẫu số 03</t>
  </si>
  <si>
    <t>(Kèm theo Báo cáo số 186/BC-UBND ngày 30 tháng 11 năm 2017 của UBND tỉnh Quảng Nam)</t>
  </si>
  <si>
    <t>Chi đầu tư từ nguồn thu phí tham quan</t>
  </si>
  <si>
    <t>Chương trình MTQG giảm nghèo bền vững</t>
  </si>
  <si>
    <t>Chương trình MTQG xây dựng nông thôn mới</t>
  </si>
  <si>
    <t>………</t>
  </si>
  <si>
    <t xml:space="preserve">Chi bổ sung quỹ dự trữ tài chính </t>
  </si>
  <si>
    <t>(Kèm theo Báo cáo số  187/BC-UBND ngày 30  tháng 11 năm 2017 của UBND tỉnh Quảng Nam)</t>
  </si>
  <si>
    <t>(Kèm theo Báo cáo số  187/BC-UBND ngày  30 tháng 11 năm 2017 của Sở Tài chính Quảng Nam)</t>
  </si>
  <si>
    <t>Hội Cựu chiến binh</t>
  </si>
  <si>
    <t>Đài Phát thanh Truyền hình tỉnh</t>
  </si>
  <si>
    <t>Công an tỉnh</t>
  </si>
  <si>
    <t>UBMT Tổ Quốc Việt Nam tỉnh</t>
  </si>
  <si>
    <t>Tiết kiệm 10%</t>
  </si>
  <si>
    <t>ĐVT: triệu đồng</t>
  </si>
  <si>
    <t>(Kèm theo Quyết định số 4288/QĐ-UBND ngày 07/12/2017 của UBND tỉnh Quảng Nam)</t>
  </si>
  <si>
    <t xml:space="preserve">Cấp vốn điều lệ cho các Quỹ. </t>
  </si>
  <si>
    <t>Quỹ Khám chữa bệnh người nghèo</t>
  </si>
  <si>
    <t>Quỹ Bảo trợ trẻ em</t>
  </si>
  <si>
    <t>Quỹ Khuyến học</t>
  </si>
  <si>
    <t xml:space="preserve"> - Đối ứng kinh phí hỗ trợ nhà ở người có công</t>
  </si>
  <si>
    <t>Chi đầu tư từ nguồn thu khác còn lại sau thuế yến sào</t>
  </si>
  <si>
    <t>Chi đầu tư từ nguồn vốn khác (sự nghiệp môi trường, tăng thu, khác)</t>
  </si>
  <si>
    <t>Mua thiết bị chiếu phim và ô tô chuyên dụng</t>
  </si>
  <si>
    <t>Hỗ trợ Hội văn học nghệ thuật</t>
  </si>
  <si>
    <t>Hỗ trợ các Hội Nhà báo</t>
  </si>
  <si>
    <t>Chính sách trợ giúp pháp lý</t>
  </si>
  <si>
    <t>Hỗ trợ kinh phí thực hiện chính sách đối với người có uy tín trong đồng bào DTTS; hỗ trợ khác.</t>
  </si>
  <si>
    <t>Bổ sung kinh phí thực hiện nhiệm vụ đảm bảo trật tự an toàn giao thông</t>
  </si>
  <si>
    <t>Biểu số 46/CK-NSNN</t>
  </si>
  <si>
    <t>UBND TỈNH QUẢNG NAM</t>
  </si>
  <si>
    <t>Biểu số 47/CK-NSNN</t>
  </si>
  <si>
    <t>ĐVT: Triệu đồng</t>
  </si>
  <si>
    <t>Tổng thu NSNN</t>
  </si>
  <si>
    <t>Thu NSĐP</t>
  </si>
  <si>
    <t>NSTW</t>
  </si>
  <si>
    <t>TỔNG THU NSNN TRÊN ĐỊA BÀN (I+II)</t>
  </si>
  <si>
    <t>I. THU NỘI ĐỊA</t>
  </si>
  <si>
    <t>Trong đó: - Thu nội địa theo dự toán đầu năm</t>
  </si>
  <si>
    <t xml:space="preserve">                 - Thu để lại quản lý qua NS điều chỉnh vào thu nội địa</t>
  </si>
  <si>
    <t xml:space="preserve">        Trong đó: Thu nội địa  loại trừ tiền đất và xổ số kiến thiết</t>
  </si>
  <si>
    <t xml:space="preserve">                 - Thu nội địa không bao gồm tiền sử dụng đất, XSKT, thu quản lý qua NS</t>
  </si>
  <si>
    <t>1. Thu từ DN nhà nước trung ương</t>
  </si>
  <si>
    <t xml:space="preserve"> - Thuế giá trị gia tăng</t>
  </si>
  <si>
    <t xml:space="preserve"> - Thuế thu nhập doanh nghiệp</t>
  </si>
  <si>
    <t xml:space="preserve"> - Thuế TTĐB hàng hóa, dịch vụ trong nước</t>
  </si>
  <si>
    <t>Trong đó: Thu từ hàng hóa của CSKD nhập khẩu tiếp tục bán ra trong nước</t>
  </si>
  <si>
    <t xml:space="preserve"> - Thuế tài nguyên</t>
  </si>
  <si>
    <t xml:space="preserve"> - Thuế môn bài</t>
  </si>
  <si>
    <t xml:space="preserve"> - Thu khác</t>
  </si>
  <si>
    <t>2. Thu từ DN nhà nước địa phương</t>
  </si>
  <si>
    <t xml:space="preserve"> - Thuế giá  trị gia tăng</t>
  </si>
  <si>
    <t xml:space="preserve"> - Thuế tiêu thụ đặc biệt</t>
  </si>
  <si>
    <t>3. Thu từ DN có vốn nước ngoài</t>
  </si>
  <si>
    <t xml:space="preserve"> - Thu tiền thuê đất</t>
  </si>
  <si>
    <t>4. Thu từ doanh nghiệp ngoài QD</t>
  </si>
  <si>
    <t xml:space="preserve">    Trong đó: Thu từ hàng hóa nhập khẩu do cơ sở kinh doanh nhập khẩu tiếp tục bán ra trong nước</t>
  </si>
  <si>
    <t xml:space="preserve"> - Thu khác ngoài quốc doanh</t>
  </si>
  <si>
    <t>5. Lệ phí trước bạ</t>
  </si>
  <si>
    <t>5. Thuế sử dụng đất nông nghiệp</t>
  </si>
  <si>
    <t>6. Thuế sử dụng đất phi nông nghiệp</t>
  </si>
  <si>
    <t>7. Thuế thu nhập cá nhân</t>
  </si>
  <si>
    <t>8. Thuế bảo vệ môi trường</t>
  </si>
  <si>
    <t xml:space="preserve">       + Thu từ hàng nhập khẩu</t>
  </si>
  <si>
    <t xml:space="preserve">       + Thu từ hàng SX trong nước</t>
  </si>
  <si>
    <t>9. Thu phí, lệ phí</t>
  </si>
  <si>
    <t xml:space="preserve"> - Phí, lệ phí trung ương</t>
  </si>
  <si>
    <t xml:space="preserve"> - Phí, lệ phí địa phương</t>
  </si>
  <si>
    <t xml:space="preserve">     Trong đó:</t>
  </si>
  <si>
    <t xml:space="preserve">                     + Phí tham quan</t>
  </si>
  <si>
    <t xml:space="preserve">                     + Học phí</t>
  </si>
  <si>
    <t xml:space="preserve">                     + Phí BVMT khai thác KS</t>
  </si>
  <si>
    <t xml:space="preserve">                     + Phí, lệ phí khác</t>
  </si>
  <si>
    <t>10. Tiền sử dụng đất, tiền thuê đất nộp một lần</t>
  </si>
  <si>
    <t xml:space="preserve">    Trong đó: Tiền sử dụng đất</t>
  </si>
  <si>
    <t>Trong đó: Thuê đất một lần từ DN nước ngoài</t>
  </si>
  <si>
    <t>11. Thu tiền thuê đất, thuê mặt nước</t>
  </si>
  <si>
    <t>12. Thu tiền bán, thuê nhà SHNN</t>
  </si>
  <si>
    <t xml:space="preserve"> Trong đó:</t>
  </si>
  <si>
    <t xml:space="preserve">                 + Thu lợi nhuận sau thuế từ Yến Sào</t>
  </si>
  <si>
    <t xml:space="preserve">                 + Thu phạt ATGT</t>
  </si>
  <si>
    <t xml:space="preserve">                 + Thu phạt do ngành thuế thực hiện</t>
  </si>
  <si>
    <t xml:space="preserve">                 + Thu khác NSĐP</t>
  </si>
  <si>
    <t xml:space="preserve">     + Trung ương cấp giấy phép</t>
  </si>
  <si>
    <t xml:space="preserve">     + Địa phương cấp giấy phép</t>
  </si>
  <si>
    <t>II. THU XUẤT, NHẬP KHẨU</t>
  </si>
  <si>
    <t xml:space="preserve"> Tr.đó: - Thuế XK, NK, TTĐB</t>
  </si>
  <si>
    <t xml:space="preserve">            - Thuế VAT hàng nhập khẩu</t>
  </si>
  <si>
    <t>DỰ TOÁN 2018</t>
  </si>
  <si>
    <t>12. Thu khác ngân sách</t>
  </si>
  <si>
    <t>13. Các khoản thu khác do xã thu</t>
  </si>
  <si>
    <t>14. Thu cấp quyền khai thác KS</t>
  </si>
  <si>
    <t>15. Thu xổ số kiến thiết</t>
  </si>
  <si>
    <t>DỰ TOÁN THU NGÂN SÁCH NHÀ NƯỚC NĂM 2018</t>
  </si>
  <si>
    <t>Biểu số 48/CK-NSNN</t>
  </si>
  <si>
    <t>Biểu số 49/CK-NSNN</t>
  </si>
  <si>
    <t>Biểu 50/CK-NSNN</t>
  </si>
  <si>
    <t>Biểu số 56/CK-NSNN</t>
  </si>
  <si>
    <t>Số
 TT</t>
  </si>
  <si>
    <t>Huyện, thành phố
 thuộc tỉnh</t>
  </si>
  <si>
    <t>Thuế giá trị gia tăng</t>
  </si>
  <si>
    <t>Thuế thu nhập doanh nghiệp</t>
  </si>
  <si>
    <t>Thuế tiêu thụ đặc biệt hàng sản xuất trong nước</t>
  </si>
  <si>
    <t>Thuế thu nhập cá nhân</t>
  </si>
  <si>
    <t>Thuế bảo vệ môi trường hàng sản xuất trong nước</t>
  </si>
  <si>
    <t>Thu cấp quyền khai thác khoáng sản do trung ương cấp giấy phép</t>
  </si>
  <si>
    <t>01</t>
  </si>
  <si>
    <t>Biểu số 54/CK-NSNN</t>
  </si>
  <si>
    <t>TỶ LỆ PHẦN TRĂM (%) CÁC KHOẢN THU PHÂN CHIA</t>
  </si>
  <si>
    <t>GIỮA NGÂN SÁCH CÁC CẤP CHÍNH QUYỀN ĐỊA PHƯƠNG NĂM 2018</t>
  </si>
  <si>
    <t>ĐVT: %</t>
  </si>
  <si>
    <t>Chi tiết theo sắc thuế:</t>
  </si>
  <si>
    <t>Địa phương</t>
  </si>
  <si>
    <t>Tổng thu NSNN trên địa bàn</t>
  </si>
  <si>
    <t>Thu ngân sách địa phương được cân đối chi</t>
  </si>
  <si>
    <t>Số bổ sung cân đối từ ngân sách cấp trên</t>
  </si>
  <si>
    <t>Tổng chi cân đối NSĐP</t>
  </si>
  <si>
    <t>Thu NSĐP hưởng theo tỷ lệ %</t>
  </si>
  <si>
    <t>2=3+4</t>
  </si>
  <si>
    <t>6=2-5</t>
  </si>
  <si>
    <t>9=6+7+8</t>
  </si>
  <si>
    <t>TỔNG CỘNG:</t>
  </si>
  <si>
    <t xml:space="preserve">Số bổ sung mục tiêu từ ngân sách cấp trên </t>
  </si>
  <si>
    <t>Thu nộp ngân sách cấp trên (nguồn tăng thu mới)</t>
  </si>
  <si>
    <t>Biểu số 55/CK-NSNN</t>
  </si>
  <si>
    <t>DỰ TOÁN THU, SỐ BỔ SUNG VÀ DỰ TOÁN CHI CÂN ĐỐI NGÂN SÁCH TỪNG HUYỆN NĂM 2018</t>
  </si>
  <si>
    <t>Biểu số 53/CK-NSNN</t>
  </si>
  <si>
    <t>(Kèm theo Quyết định số      /QĐ-UBND ngày     /12/2017 của UBND tỉnh Quảng Nam)</t>
  </si>
  <si>
    <t>(Kèm theo Quyết định số      /QĐ-UBND ngày   /12/2017 của UBND tỉnh Quảng Nam)</t>
  </si>
  <si>
    <t>(Kèm theo Quyết định số     /QĐ-UBND ngày    /12/2017 của UBND tỉnh Quảng Nam)</t>
  </si>
  <si>
    <t>(Kèm theo Quyết định số     /QĐ-UBND ngày    /12/2017 UBND tỉnh Quảng Nam)</t>
  </si>
  <si>
    <t>(Kèm theo Quyết định số      /QĐ-UBND ngày    /12/2017 của UBND tỉnh Quảng Nam)</t>
  </si>
  <si>
    <t>(Kèm theo Quyết định số              /QĐ-UBND ngày      /12/2017 của UBND tỉnh Quảng Nam)</t>
  </si>
  <si>
    <t>(Kèm theo Quyết định số :        /QĐ-UBND ngày     /12/2017  của Ủy ban nhân dân tỉnh Quảng Nam)</t>
  </si>
  <si>
    <t xml:space="preserve">(Kèm theo Quyết định số       /QĐ-UBND ngày     /12/2017 của UBND tỉnh Quảng Nam) </t>
  </si>
  <si>
    <t>Hỗ trợ khác (có chi tiết kèm theo)</t>
  </si>
  <si>
    <t>UBND TỈNH QUẢNG NAM</t>
  </si>
  <si>
    <t>Biểu số 52/CK-NSNN</t>
  </si>
  <si>
    <t>DỰ TOÁN CHI ĐẦU TƯ PHÁT TRIỂN CỦA NGÂN SÁCH CẤP TỈNH CHO TỪNG CƠ QUAN, TỔ CHỨC THEO LĨNH VỰC NĂM 2018</t>
  </si>
  <si>
    <t>Đơn vị: Triệu đồng</t>
  </si>
  <si>
    <t>Tên đơn vị</t>
  </si>
  <si>
    <t>Tổng số</t>
  </si>
  <si>
    <t>Trong đó:</t>
  </si>
  <si>
    <t>Chi Giáo dục - Đào tạo và Dạy nghề</t>
  </si>
  <si>
    <t>Chi khoa học và công nghệ</t>
  </si>
  <si>
    <t>Chi y tế, dân số và gia đình</t>
  </si>
  <si>
    <t>Chi văn hóa Thông tin</t>
  </si>
  <si>
    <t>Chi phát thanh, truyền hình, thông tấn</t>
  </si>
  <si>
    <t>Chi thể dục thể thao</t>
  </si>
  <si>
    <t>Chi các hoạt động kinh tế</t>
  </si>
  <si>
    <t>Trong đó</t>
  </si>
  <si>
    <t>Chi hoạt động của cơ quan quản lý nhà nước, Đảng, đoàn thể</t>
  </si>
  <si>
    <t xml:space="preserve">Chi bảo đảm xã hội </t>
  </si>
  <si>
    <t>Chi giao thông</t>
  </si>
  <si>
    <t>Chi nông nghiệp, lâm nghiệp, thủy lợi, thủy sản</t>
  </si>
  <si>
    <t>TỔNG SỐ</t>
  </si>
  <si>
    <t>BCH Bộ đội biên phòng tỉnh</t>
  </si>
  <si>
    <t>BQL dự án ĐTXD tỉnh</t>
  </si>
  <si>
    <t>Bệnh viện Phạm Ngọc Thạch</t>
  </si>
  <si>
    <t>Sở VH-TT&amp;DL</t>
  </si>
  <si>
    <t>Ban Dân tộc tỉnh</t>
  </si>
  <si>
    <t>Đài PTTH tỉnh</t>
  </si>
  <si>
    <t>Sở Tài nguyên Môi trường</t>
  </si>
  <si>
    <t>Sở NN&amp;PTNT</t>
  </si>
  <si>
    <t>Cty TNHH MTV KTTL Quảng Nam</t>
  </si>
  <si>
    <t>BQL dự án ĐTXD các CT NN&amp;PTNT</t>
  </si>
  <si>
    <t>BQL khu KTM Chu Lai</t>
  </si>
  <si>
    <t>BQL dự án ĐTXD các CTGT tỉnh</t>
  </si>
  <si>
    <t>Ban đại diện Hội CCB tỉnh</t>
  </si>
  <si>
    <t>Chi cục phòng chống TNXH tỉnh</t>
  </si>
  <si>
    <t>Sở LĐ-TB&amp;XH</t>
  </si>
  <si>
    <t>UBMTTQ Việt Nam tỉnh</t>
  </si>
  <si>
    <t>Ban Tuyên giáo Tỉnh ủy</t>
  </si>
  <si>
    <t>Chi cục Dân số và Kế hoạch hóa gia đình</t>
  </si>
  <si>
    <t>Trường Chính trị</t>
  </si>
  <si>
    <t>Viện Kiểm sát nhân dân tỉnh</t>
  </si>
  <si>
    <t>Trường CĐ nghề</t>
  </si>
  <si>
    <t>Ban QL dự án giảm nghèo khu vực Tây Nguyên Quảng Nam</t>
  </si>
  <si>
    <t>(Kèm theo Quyết định số         /QĐ-UBND ngày     /12/2017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</si>
</sst>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105">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0.0"/>
    <numFmt numFmtId="168" formatCode="#,###;[Red]\-#,###"/>
    <numFmt numFmtId="169" formatCode="_-&quot;€&quot;* #,##0_-;\-&quot;€&quot;* #,##0_-;_-&quot;€&quot;* &quot;-&quot;_-;_-@_-"/>
    <numFmt numFmtId="170" formatCode="_(* #,##0_);_(* \(#,##0\);_(* &quot;-&quot;??_);_(@_)"/>
    <numFmt numFmtId="171" formatCode="\ \_x0001_;\æ"/>
    <numFmt numFmtId="172" formatCode=".\ #\_x0001_;\æ"/>
    <numFmt numFmtId="173" formatCode="#.##00"/>
    <numFmt numFmtId="174" formatCode="_-* #,##0_-;\-* #,##0_-;_-* &quot;-&quot;_-;_-@_-"/>
    <numFmt numFmtId="175" formatCode="_-* #,##0.00_-;\-* #,##0.00_-;_-* &quot;-&quot;??_-;_-@_-"/>
    <numFmt numFmtId="176" formatCode="_-* #,##0\ &quot;€&quot;_-;\-* #,##0\ &quot;€&quot;_-;_-* &quot;-&quot;\ &quot;€&quot;_-;_-@_-"/>
    <numFmt numFmtId="177" formatCode="_-&quot;ñ&quot;* #,##0_-;\-&quot;ñ&quot;* #,##0_-;_-&quot;ñ&quot;* &quot;-&quot;_-;_-@_-"/>
    <numFmt numFmtId="178" formatCode="_-* #,##0\ _F_-;\-* #,##0\ _F_-;_-* &quot;-&quot;\ _F_-;_-@_-"/>
    <numFmt numFmtId="179" formatCode="_-&quot;$&quot;* #,##0_-;\-&quot;$&quot;* #,##0_-;_-&quot;$&quot;* &quot;-&quot;_-;_-@_-"/>
    <numFmt numFmtId="180" formatCode="_-* #,##0.00\ _F_-;\-* #,##0.00\ _F_-;_-* &quot;-&quot;??\ _F_-;_-@_-"/>
    <numFmt numFmtId="181" formatCode="_-* #,##0.00\ _ñ_-;\-* #,##0.00\ _ñ_-;_-* &quot;-&quot;??\ _ñ_-;_-@_-"/>
    <numFmt numFmtId="182" formatCode="_-* #,##0.00\ _ñ_-;_-* #,##0.00\ _ñ\-;_-* &quot;-&quot;??\ _ñ_-;_-@_-"/>
    <numFmt numFmtId="183" formatCode="_-* #,##0\ &quot;F&quot;_-;\-* #,##0\ &quot;F&quot;_-;_-* &quot;-&quot;\ &quot;F&quot;_-;_-@_-"/>
    <numFmt numFmtId="184" formatCode="_(&quot;$&quot;\ * #,##0_);_(&quot;$&quot;\ * \(#,##0\);_(&quot;$&quot;\ * &quot;-&quot;_);_(@_)"/>
    <numFmt numFmtId="185" formatCode="_-* #,##0\ &quot;ñ&quot;_-;\-* #,##0\ &quot;ñ&quot;_-;_-* &quot;-&quot;\ &quot;ñ&quot;_-;_-@_-"/>
    <numFmt numFmtId="186" formatCode="_-* #,##0\ _ñ_-;\-* #,##0\ _ñ_-;_-* &quot;-&quot;\ _ñ_-;_-@_-"/>
    <numFmt numFmtId="187" formatCode="_-* #,##0\ _ñ_-;_-* #,##0\ _ñ\-;_-* &quot;-&quot;\ _ñ_-;_-@_-"/>
    <numFmt numFmtId="188" formatCode="_ &quot;\&quot;* #,##0_ ;_ &quot;\&quot;* \-#,##0_ ;_ &quot;\&quot;* &quot;-&quot;_ ;_ @_ "/>
    <numFmt numFmtId="189" formatCode="&quot;\&quot;#,##0.00;[Red]&quot;\&quot;\-#,##0.00"/>
    <numFmt numFmtId="190" formatCode="&quot;\&quot;#,##0;[Red]&quot;\&quot;\-#,##0"/>
    <numFmt numFmtId="191" formatCode="_ * #,##0_)\ &quot;F&quot;_ ;_ * \(#,##0\)\ &quot;F&quot;_ ;_ * &quot;-&quot;_)\ &quot;F&quot;_ ;_ @_ "/>
    <numFmt numFmtId="192" formatCode="&quot;£&quot;#,##0.00;\-&quot;£&quot;#,##0.00"/>
    <numFmt numFmtId="193" formatCode="_ * #,##0_)\ _$_ ;_ * \(#,##0\)\ _$_ ;_ * &quot;-&quot;_)\ _$_ ;_ @_ "/>
    <numFmt numFmtId="194" formatCode="_-&quot;F&quot;* #,##0_-;\-&quot;F&quot;* #,##0_-;_-&quot;F&quot;* &quot;-&quot;_-;_-@_-"/>
    <numFmt numFmtId="195" formatCode="_ * #,##0_ ;_ * \-#,##0_ ;_ * &quot;-&quot;_ ;_ @_ "/>
    <numFmt numFmtId="196" formatCode="_ * #,##0.00_)&quot;$&quot;_ ;_ * \(#,##0.00\)&quot;$&quot;_ ;_ * &quot;-&quot;??_)&quot;$&quot;_ ;_ @_ "/>
    <numFmt numFmtId="197" formatCode="_ * #,##0.00_ ;_ * \-#,##0.00_ ;_ * &quot;-&quot;??_ ;_ @_ "/>
    <numFmt numFmtId="198" formatCode="_ * #,##0.0_)_$_ ;_ * \(#,##0.0\)_$_ ;_ * &quot;-&quot;??_)_$_ ;_ @_ "/>
    <numFmt numFmtId="199" formatCode="\$#,##0_);\(\$#,##0\)"/>
    <numFmt numFmtId="200" formatCode="#,##0.0_);\(#,##0.0\)"/>
    <numFmt numFmtId="201" formatCode="_(* #,##0.0000_);_(* \(#,##0.0000\);_(* &quot;-&quot;??_);_(@_)"/>
    <numFmt numFmtId="202" formatCode="0.0%;[Red]\(0.0%\)"/>
    <numFmt numFmtId="203" formatCode="_ * #,##0.00_)&quot;£&quot;_ ;_ * \(#,##0.00\)&quot;£&quot;_ ;_ * &quot;-&quot;??_)&quot;£&quot;_ ;_ @_ "/>
    <numFmt numFmtId="204" formatCode="_-&quot;$&quot;* #,##0.00_-;\-&quot;$&quot;* #,##0.00_-;_-&quot;$&quot;* &quot;-&quot;??_-;_-@_-"/>
    <numFmt numFmtId="205" formatCode="0.0%;\(0.0%\)"/>
    <numFmt numFmtId="206" formatCode="_-* #,##0.00\ &quot;F&quot;_-;\-* #,##0.00\ &quot;F&quot;_-;_-* &quot;-&quot;??\ &quot;F&quot;_-;_-@_-"/>
    <numFmt numFmtId="207" formatCode="0.000_)"/>
    <numFmt numFmtId="208" formatCode="_ * #,##0_)_đ_ ;_ * \(#,##0\)_đ_ ;_ * &quot;-&quot;_)_đ_ ;_ @_ "/>
    <numFmt numFmtId="209" formatCode="_-* #,##0.00\ _V_N_D_-;\-* #,##0.00\ _V_N_D_-;_-* &quot;-&quot;??\ _V_N_D_-;_-@_-"/>
    <numFmt numFmtId="210" formatCode="&quot;True&quot;;&quot;True&quot;;&quot;False&quot;"/>
    <numFmt numFmtId="211" formatCode="&quot;C&quot;#,##0.00_);\(&quot;C&quot;#,##0.00\)"/>
    <numFmt numFmtId="212" formatCode="_ &quot;R&quot;\ * #,##0_ ;_ &quot;R&quot;\ * \-#,##0_ ;_ &quot;R&quot;\ * &quot;-&quot;_ ;_ @_ "/>
    <numFmt numFmtId="213" formatCode="00.000"/>
    <numFmt numFmtId="214" formatCode="\$#,##0\ ;\(\$#,##0\)"/>
    <numFmt numFmtId="215" formatCode="&quot;C&quot;#,##0_);\(&quot;C&quot;#,##0\)"/>
    <numFmt numFmtId="216" formatCode="0.000"/>
    <numFmt numFmtId="217" formatCode="_(\§\g\ #,##0_);_(\§\g\ \(#,##0\);_(\§\g\ &quot;-&quot;??_);_(@_)"/>
    <numFmt numFmtId="218" formatCode="_(\§\g\ #,##0_);_(\§\g\ \(#,##0\);_(\§\g\ &quot;-&quot;_);_(@_)"/>
    <numFmt numFmtId="219" formatCode="&quot;C&quot;#,##0_);[Red]\(&quot;C&quot;#,##0\)"/>
    <numFmt numFmtId="220" formatCode="\§\g#,##0_);\(\§\g#,##0\)"/>
    <numFmt numFmtId="221" formatCode="_-&quot;VND&quot;* #,##0_-;\-&quot;VND&quot;* #,##0_-;_-&quot;VND&quot;* &quot;-&quot;_-;_-@_-"/>
    <numFmt numFmtId="222" formatCode="_(&quot;Rp&quot;* #,##0.00_);_(&quot;Rp&quot;* \(#,##0.00\);_(&quot;Rp&quot;* &quot;-&quot;??_);_(@_)"/>
    <numFmt numFmtId="223" formatCode="#,##0.00\ &quot;FB&quot;;[Red]\-#,##0.00\ &quot;FB&quot;"/>
    <numFmt numFmtId="224" formatCode="#,##0\ &quot;$&quot;;\-#,##0\ &quot;$&quot;"/>
    <numFmt numFmtId="225" formatCode="&quot;$&quot;#,##0;\-&quot;$&quot;#,##0"/>
    <numFmt numFmtId="226" formatCode="_-* #,##0\ _F_B_-;\-* #,##0\ _F_B_-;_-* &quot;-&quot;\ _F_B_-;_-@_-"/>
    <numFmt numFmtId="227" formatCode="#,##0_);\-#,##0_)"/>
    <numFmt numFmtId="228" formatCode="#,##0\ &quot;$&quot;_);\(#,##0\ &quot;$&quot;\)"/>
    <numFmt numFmtId="229" formatCode="#,###"/>
    <numFmt numFmtId="230" formatCode="#,##0\ &quot;$&quot;_);[Red]\(#,##0\ &quot;$&quot;\)"/>
    <numFmt numFmtId="231" formatCode="&quot;$&quot;###,0&quot;.&quot;00_);[Red]\(&quot;$&quot;###,0&quot;.&quot;00\)"/>
    <numFmt numFmtId="232" formatCode="&quot;\&quot;#,##0;[Red]\-&quot;\&quot;#,##0"/>
    <numFmt numFmtId="233" formatCode="&quot;\&quot;#,##0.00;\-&quot;\&quot;#,##0.00"/>
    <numFmt numFmtId="234" formatCode="#,##0.00_);\-#,##0.00_)"/>
    <numFmt numFmtId="235" formatCode="#,##0.000_);\(#,##0.000\)"/>
    <numFmt numFmtId="236" formatCode="#"/>
    <numFmt numFmtId="237" formatCode="&quot;¡Ì&quot;#,##0;[Red]\-&quot;¡Ì&quot;#,##0"/>
    <numFmt numFmtId="238" formatCode="#,##0.00\ &quot;F&quot;;[Red]\-#,##0.00\ &quot;F&quot;"/>
    <numFmt numFmtId="239" formatCode="_-&quot;£&quot;* #,##0_-;\-&quot;£&quot;* #,##0_-;_-&quot;£&quot;* &quot;-&quot;_-;_-@_-"/>
    <numFmt numFmtId="240" formatCode="&quot;£&quot;#,##0;[Red]\-&quot;£&quot;#,##0"/>
    <numFmt numFmtId="241" formatCode="0.00000000000E+00;\?"/>
    <numFmt numFmtId="242" formatCode="#,##0.00\ \ "/>
    <numFmt numFmtId="243" formatCode="0.00000"/>
    <numFmt numFmtId="244" formatCode="_ * #,##0_ ;_ * \-#,##0_ ;_ * &quot;-&quot;??_ ;_ @_ "/>
    <numFmt numFmtId="245" formatCode="_(* #.##0.00_);_(* \(#.##0.00\);_(* &quot;-&quot;??_);_(@_)"/>
    <numFmt numFmtId="246" formatCode="#,##0.00\ \ \ \ "/>
    <numFmt numFmtId="247" formatCode="&quot;$&quot;#,##0;[Red]\-&quot;$&quot;#,##0"/>
    <numFmt numFmtId="248" formatCode="#,##0\ &quot;F&quot;;[Red]\-#,##0\ &quot;F&quot;"/>
    <numFmt numFmtId="249" formatCode="_ * #.##._ ;_ * \-#.##._ ;_ * &quot;-&quot;??_ ;_ @_ⴆ"/>
    <numFmt numFmtId="250" formatCode="#,##0\ &quot;F&quot;;\-#,##0\ &quot;F&quot;"/>
    <numFmt numFmtId="251" formatCode="_-* ###,0&quot;.&quot;00_-;\-* ###,0&quot;.&quot;00_-;_-* &quot;-&quot;??_-;_-@_-"/>
    <numFmt numFmtId="252" formatCode="_-* #,##0\ _F_-;\-* #,##0\ _F_-;_-* &quot;-&quot;??\ _F_-;_-@_-"/>
    <numFmt numFmtId="253" formatCode="_-&quot;$&quot;* ###,0&quot;.&quot;00_-;\-&quot;$&quot;* ###,0&quot;.&quot;00_-;_-&quot;$&quot;* &quot;-&quot;??_-;_-@_-"/>
    <numFmt numFmtId="254" formatCode="#,##0.00\ &quot;F&quot;;\-#,##0.00\ &quot;F&quot;"/>
    <numFmt numFmtId="255" formatCode="&quot;\&quot;#,##0;&quot;\&quot;&quot;\&quot;&quot;\&quot;&quot;\&quot;&quot;\&quot;&quot;\&quot;&quot;\&quot;\-#,##0"/>
    <numFmt numFmtId="256" formatCode="#,###.00;[Red]\-#,###.00"/>
    <numFmt numFmtId="257" formatCode="0.0%"/>
    <numFmt numFmtId="258" formatCode="0.0"/>
    <numFmt numFmtId="259" formatCode="#,##0.00;[Red]\-#,###.00"/>
    <numFmt numFmtId="260" formatCode="_-* #,##0.00\ _€_-;\-* #,##0.00\ _€_-;_-* &quot;-&quot;??\ _€_-;_-@_-"/>
    <numFmt numFmtId="261" formatCode="_-* #,##0\ _€_-;\-* #,##0\ _€_-;_-* &quot;-&quot;??\ _€_-;_-@_-"/>
    <numFmt numFmtId="262" formatCode="0_);\(0\)"/>
  </numFmts>
  <fonts count="297">
    <font>
      <sz val="10"/>
      <name val="Arial"/>
    </font>
    <font>
      <sz val="11"/>
      <color theme="1"/>
      <name val="Calibri"/>
      <family val="2"/>
      <scheme val="minor"/>
    </font>
    <font>
      <sz val="10"/>
      <name val="Arial"/>
      <family val="2"/>
    </font>
    <font>
      <sz val="8"/>
      <name val="Arial"/>
      <family val="2"/>
    </font>
    <font>
      <b/>
      <sz val="13.5"/>
      <name val="Times New Roman"/>
      <family val="1"/>
    </font>
    <font>
      <sz val="13.5"/>
      <name val="Times New Roman"/>
      <family val="1"/>
    </font>
    <font>
      <sz val="13.5"/>
      <name val="Arial Narrow"/>
      <family val="2"/>
    </font>
    <font>
      <i/>
      <sz val="13.5"/>
      <name val="Times New Roman"/>
      <family val="1"/>
    </font>
    <font>
      <b/>
      <u/>
      <sz val="13.5"/>
      <name val="Times New Roman"/>
      <family val="1"/>
    </font>
    <font>
      <b/>
      <i/>
      <u/>
      <sz val="13.5"/>
      <name val="Times New Roman"/>
      <family val="1"/>
    </font>
    <font>
      <sz val="10"/>
      <name val="Times New Roman"/>
      <family val="1"/>
    </font>
    <font>
      <b/>
      <u/>
      <sz val="13.5"/>
      <name val=".VnArial Narrow"/>
      <family val="2"/>
    </font>
    <font>
      <sz val="13.5"/>
      <name val=".VnArial Narrow"/>
      <family val="2"/>
    </font>
    <font>
      <u/>
      <sz val="13.5"/>
      <name val=".VnArial Narrow"/>
      <family val="2"/>
    </font>
    <font>
      <sz val="12"/>
      <name val="Times New Roman"/>
      <family val="1"/>
    </font>
    <font>
      <b/>
      <sz val="12"/>
      <name val="Times New Roman"/>
      <family val="1"/>
    </font>
    <font>
      <b/>
      <sz val="13.5"/>
      <name val=".VnArial Narrow"/>
      <family val="2"/>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4"/>
      <name val="Times New Roman"/>
      <family val="1"/>
    </font>
    <font>
      <b/>
      <i/>
      <sz val="12"/>
      <name val="Times New Roman"/>
      <family val="1"/>
    </font>
    <font>
      <sz val="13"/>
      <name val=".VnArial Narrow"/>
      <family val="2"/>
    </font>
    <font>
      <b/>
      <sz val="10"/>
      <name val="Times New Roman"/>
      <family val="1"/>
    </font>
    <font>
      <sz val="14"/>
      <name val=".VnArial Narrow"/>
      <family val="2"/>
    </font>
    <font>
      <sz val="14"/>
      <name val="Arial"/>
      <family val="2"/>
    </font>
    <font>
      <b/>
      <u/>
      <sz val="14"/>
      <name val="Times New Roman"/>
      <family val="1"/>
    </font>
    <font>
      <b/>
      <sz val="10"/>
      <name val="Arial"/>
      <family val="2"/>
    </font>
    <font>
      <b/>
      <u/>
      <sz val="14"/>
      <name val=".VnArial Narrow"/>
      <family val="2"/>
    </font>
    <font>
      <b/>
      <sz val="14"/>
      <name val="Arial"/>
      <family val="2"/>
    </font>
    <font>
      <b/>
      <sz val="14"/>
      <name val=".VnArial Narrow"/>
      <family val="2"/>
    </font>
    <font>
      <sz val="10"/>
      <name val="Arial"/>
      <family val="2"/>
    </font>
    <font>
      <sz val="10"/>
      <name val=".VnArial Narrow"/>
      <family val="2"/>
    </font>
    <font>
      <sz val="10"/>
      <name val="Arial"/>
      <family val="2"/>
    </font>
    <font>
      <sz val="13"/>
      <name val="Arial Narrow"/>
      <family val="2"/>
    </font>
    <font>
      <b/>
      <u/>
      <sz val="13"/>
      <name val="Times New Roman"/>
      <family val="1"/>
    </font>
    <font>
      <sz val="13"/>
      <name val="Times New Roman"/>
      <family val="1"/>
    </font>
    <font>
      <sz val="13"/>
      <name val="Arial"/>
      <family val="2"/>
    </font>
    <font>
      <sz val="8"/>
      <name val=".VnTime"/>
      <family val="2"/>
    </font>
    <font>
      <b/>
      <u/>
      <sz val="12"/>
      <name val="Times New Roman"/>
      <family val="1"/>
    </font>
    <font>
      <sz val="10"/>
      <name val=".VnArial"/>
      <family val="2"/>
    </font>
    <font>
      <b/>
      <sz val="18"/>
      <name val="Arial"/>
      <family val="2"/>
    </font>
    <font>
      <sz val="9"/>
      <name val="Arial"/>
      <family val="2"/>
    </font>
    <font>
      <b/>
      <sz val="11"/>
      <name val="Times New Roman"/>
      <family val="1"/>
    </font>
    <font>
      <b/>
      <u/>
      <sz val="12"/>
      <name val=".VnArial Narrow"/>
      <family val="2"/>
    </font>
    <font>
      <sz val="12"/>
      <name val=".VnArial Narrow"/>
      <family val="2"/>
    </font>
    <font>
      <sz val="11"/>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sz val="12"/>
      <name val=".VnHelvetInsH"/>
      <family val="2"/>
    </font>
    <font>
      <b/>
      <sz val="12"/>
      <name val=".VnArial NarrowH"/>
      <family val="2"/>
    </font>
    <font>
      <sz val="12"/>
      <color indexed="9"/>
      <name val=".VnArial Narrow"/>
      <family val="2"/>
    </font>
    <font>
      <i/>
      <sz val="11"/>
      <name val=".VnArial Narrow"/>
      <family val="2"/>
    </font>
    <font>
      <b/>
      <sz val="13"/>
      <name val=".VnTime"/>
      <family val="2"/>
    </font>
    <font>
      <sz val="8"/>
      <name val=".VnArialH"/>
      <family val="2"/>
    </font>
    <font>
      <b/>
      <u/>
      <sz val="12"/>
      <color indexed="8"/>
      <name val=".VnArial Narrow"/>
      <family val="2"/>
    </font>
    <font>
      <b/>
      <u/>
      <sz val="12"/>
      <color indexed="8"/>
      <name val="Times New Roman"/>
      <family val="1"/>
    </font>
    <font>
      <b/>
      <u/>
      <sz val="11"/>
      <name val=".VnArial Narrow"/>
      <family val="2"/>
    </font>
    <font>
      <u/>
      <sz val="12"/>
      <name val=".VnArial Narrow"/>
      <family val="2"/>
    </font>
    <font>
      <b/>
      <sz val="12"/>
      <color indexed="8"/>
      <name val="Times New Roman"/>
      <family val="1"/>
    </font>
    <font>
      <b/>
      <sz val="12"/>
      <name val=".VnArial Narrow"/>
      <family val="2"/>
    </font>
    <font>
      <sz val="12"/>
      <color indexed="8"/>
      <name val="Times New Roman"/>
      <family val="1"/>
    </font>
    <font>
      <u/>
      <sz val="12"/>
      <name val="Times New Roman"/>
      <family val="1"/>
    </font>
    <font>
      <u/>
      <sz val="12"/>
      <color indexed="8"/>
      <name val="Times New Roman"/>
      <family val="1"/>
    </font>
    <font>
      <i/>
      <sz val="12"/>
      <color indexed="8"/>
      <name val="Times New Roman"/>
      <family val="1"/>
    </font>
    <font>
      <i/>
      <sz val="12"/>
      <name val=".VnArial Narrow"/>
      <family val="2"/>
    </font>
    <font>
      <b/>
      <i/>
      <sz val="12"/>
      <color indexed="8"/>
      <name val="Times New Roman"/>
      <family val="1"/>
    </font>
    <font>
      <b/>
      <sz val="12"/>
      <color indexed="8"/>
      <name val=".VnArial Narrow"/>
      <family val="2"/>
    </font>
    <font>
      <sz val="12"/>
      <color indexed="8"/>
      <name val=".VnArial Narrow"/>
      <family val="2"/>
    </font>
    <font>
      <sz val="11"/>
      <name val=".VnTime"/>
      <family val="2"/>
    </font>
    <font>
      <b/>
      <sz val="8"/>
      <color indexed="81"/>
      <name val="Tahoma"/>
      <family val="2"/>
    </font>
    <font>
      <b/>
      <sz val="14"/>
      <color indexed="81"/>
      <name val="Times New Roman"/>
      <family val="1"/>
    </font>
    <font>
      <u/>
      <sz val="14"/>
      <name val="Times New Roman"/>
      <family val="1"/>
    </font>
    <font>
      <b/>
      <u/>
      <sz val="10"/>
      <name val="Arial"/>
      <family val="2"/>
    </font>
    <font>
      <i/>
      <sz val="14"/>
      <name val="Times New Roman"/>
      <family val="1"/>
    </font>
    <font>
      <b/>
      <i/>
      <sz val="14"/>
      <name val="Times New Roman"/>
      <family val="1"/>
    </font>
    <font>
      <sz val="16"/>
      <name val="Times New Roman"/>
      <family val="1"/>
    </font>
    <font>
      <i/>
      <sz val="13"/>
      <name val="Times New Roman"/>
      <family val="1"/>
      <charset val="163"/>
    </font>
    <font>
      <b/>
      <sz val="14"/>
      <name val="Times New Roman"/>
      <family val="1"/>
      <charset val="163"/>
    </font>
    <font>
      <i/>
      <u/>
      <sz val="12"/>
      <name val=".VnArial Narrow"/>
      <family val="2"/>
    </font>
    <font>
      <sz val="9"/>
      <color indexed="81"/>
      <name val="Tahoma"/>
      <family val="2"/>
    </font>
    <font>
      <b/>
      <sz val="9"/>
      <color indexed="81"/>
      <name val="Tahoma"/>
      <family val="2"/>
    </font>
    <font>
      <b/>
      <sz val="14"/>
      <color indexed="8"/>
      <name val="Times New Roman"/>
      <family val="1"/>
    </font>
    <font>
      <sz val="13"/>
      <color indexed="8"/>
      <name val="Times New Roman"/>
      <family val="1"/>
    </font>
    <font>
      <i/>
      <sz val="13"/>
      <color indexed="8"/>
      <name val="Times New Roman"/>
      <family val="1"/>
    </font>
    <font>
      <b/>
      <sz val="13"/>
      <color indexed="8"/>
      <name val="Times New Roman"/>
      <family val="1"/>
    </font>
    <font>
      <b/>
      <i/>
      <u/>
      <sz val="12"/>
      <color indexed="8"/>
      <name val="Times New Roman"/>
      <family val="1"/>
    </font>
    <font>
      <i/>
      <sz val="12"/>
      <name val="Times New Roman"/>
      <family val="1"/>
    </font>
    <font>
      <i/>
      <sz val="12"/>
      <color indexed="8"/>
      <name val=".VnArial Narrow"/>
      <family val="2"/>
    </font>
    <font>
      <b/>
      <i/>
      <sz val="13"/>
      <color indexed="8"/>
      <name val="Times New Roman"/>
      <family val="1"/>
    </font>
    <font>
      <b/>
      <i/>
      <u/>
      <sz val="12"/>
      <color indexed="8"/>
      <name val=".VnArial Narrow"/>
      <family val="2"/>
    </font>
    <font>
      <sz val="13"/>
      <color indexed="8"/>
      <name val=".VnArial Narrow"/>
      <family val="2"/>
    </font>
    <font>
      <b/>
      <i/>
      <sz val="12"/>
      <color indexed="8"/>
      <name val=".VnArial Narrow"/>
      <family val="2"/>
    </font>
    <font>
      <sz val="11"/>
      <color theme="1"/>
      <name val="Calibri"/>
      <family val="2"/>
      <charset val="163"/>
      <scheme val="minor"/>
    </font>
    <font>
      <sz val="13"/>
      <color rgb="FFFF0000"/>
      <name val="Times New Roman"/>
      <family val="1"/>
    </font>
    <font>
      <b/>
      <sz val="13"/>
      <color rgb="FFFF0000"/>
      <name val="Times New Roman"/>
      <family val="1"/>
    </font>
    <font>
      <i/>
      <sz val="13"/>
      <color rgb="FFFF0000"/>
      <name val="Times New Roman"/>
      <family val="1"/>
    </font>
    <font>
      <b/>
      <i/>
      <sz val="13"/>
      <color rgb="FFFF0000"/>
      <name val="Times New Roman"/>
      <family val="1"/>
    </font>
    <font>
      <sz val="12"/>
      <color rgb="FFFF0000"/>
      <name val=".VnArial Narrow"/>
      <family val="2"/>
    </font>
    <font>
      <b/>
      <sz val="14"/>
      <color rgb="FFFF0000"/>
      <name val="Times New Roman"/>
      <family val="1"/>
    </font>
    <font>
      <i/>
      <sz val="12"/>
      <color rgb="FFFF0000"/>
      <name val="Times New Roman"/>
      <family val="1"/>
    </font>
    <font>
      <b/>
      <i/>
      <u/>
      <sz val="12"/>
      <color rgb="FFFF0000"/>
      <name val=".VnArial Narrow"/>
      <family val="2"/>
    </font>
    <font>
      <b/>
      <sz val="12"/>
      <color rgb="FFFF0000"/>
      <name val=".VnArial Narrow"/>
      <family val="2"/>
    </font>
    <font>
      <i/>
      <sz val="12"/>
      <color rgb="FFFF0000"/>
      <name val=".VnArial Narrow"/>
      <family val="2"/>
    </font>
    <font>
      <sz val="13"/>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sz val="13"/>
      <color rgb="FF000000"/>
      <name val=".VnArial Narrow"/>
      <family val="2"/>
    </font>
    <font>
      <b/>
      <sz val="12"/>
      <color rgb="FF000000"/>
      <name val=".VnArial Narrow"/>
      <family val="2"/>
    </font>
    <font>
      <b/>
      <sz val="13"/>
      <color theme="1"/>
      <name val="Times New Roman"/>
      <family val="1"/>
    </font>
    <font>
      <sz val="12"/>
      <color rgb="FFFF0000"/>
      <name val="Times New Roman"/>
      <family val="1"/>
    </font>
    <font>
      <sz val="13"/>
      <color rgb="FF000000"/>
      <name val="Times New Roman"/>
      <family val="1"/>
    </font>
    <font>
      <b/>
      <sz val="10"/>
      <color rgb="FF000000"/>
      <name val="Times New Roman"/>
      <family val="1"/>
    </font>
    <font>
      <sz val="10"/>
      <color theme="1"/>
      <name val="Times New Roman"/>
      <family val="1"/>
    </font>
    <font>
      <i/>
      <sz val="10"/>
      <color rgb="FF000000"/>
      <name val="Times New Roman"/>
      <family val="1"/>
    </font>
    <font>
      <sz val="10"/>
      <color rgb="FF000000"/>
      <name val="Times New Roman"/>
      <family val="1"/>
    </font>
    <font>
      <b/>
      <i/>
      <sz val="10"/>
      <color rgb="FF000000"/>
      <name val="Times New Roman"/>
      <family val="1"/>
    </font>
    <font>
      <b/>
      <sz val="11"/>
      <color rgb="FF000000"/>
      <name val="Times New Roman"/>
      <family val="1"/>
    </font>
    <font>
      <i/>
      <sz val="11"/>
      <color rgb="FF000000"/>
      <name val="Times New Roman"/>
      <family val="1"/>
    </font>
    <font>
      <u/>
      <sz val="12"/>
      <color rgb="FFFF0000"/>
      <name val=".VnArial Narrow"/>
      <family val="2"/>
    </font>
    <font>
      <i/>
      <sz val="12"/>
      <color theme="1"/>
      <name val="Times New Roman"/>
      <family val="1"/>
    </font>
    <font>
      <sz val="12"/>
      <color theme="1"/>
      <name val="Times New Roman"/>
      <family val="1"/>
    </font>
    <font>
      <sz val="13"/>
      <color rgb="FF92D050"/>
      <name val="Times New Roman"/>
      <family val="1"/>
    </font>
    <font>
      <b/>
      <sz val="12"/>
      <color rgb="FF00B050"/>
      <name val="Times New Roman"/>
      <family val="1"/>
    </font>
    <font>
      <b/>
      <sz val="12"/>
      <color rgb="FF00B050"/>
      <name val=".VnArial Narrow"/>
      <family val="2"/>
    </font>
    <font>
      <sz val="12"/>
      <color rgb="FF00B050"/>
      <name val=".VnArial Narrow"/>
      <family val="2"/>
    </font>
    <font>
      <b/>
      <sz val="13"/>
      <color rgb="FF00B050"/>
      <name val="Times New Roman"/>
      <family val="1"/>
    </font>
    <font>
      <i/>
      <sz val="13"/>
      <color rgb="FF92D050"/>
      <name val="Times New Roman"/>
      <family val="1"/>
    </font>
    <font>
      <i/>
      <sz val="12"/>
      <color rgb="FF00B0F0"/>
      <name val=".VnArial Narrow"/>
      <family val="2"/>
    </font>
    <font>
      <sz val="12"/>
      <color rgb="FF00B0F0"/>
      <name val=".VnArial Narrow"/>
      <family val="2"/>
    </font>
    <font>
      <sz val="11"/>
      <color rgb="FF000000"/>
      <name val=".VnArial Narrow"/>
      <family val="2"/>
    </font>
    <font>
      <sz val="11"/>
      <color theme="1"/>
      <name val=".VnArial Narrow"/>
      <family val="2"/>
    </font>
    <font>
      <b/>
      <sz val="11"/>
      <color rgb="FF000000"/>
      <name val=".VnArial Narrow"/>
      <family val="2"/>
    </font>
    <font>
      <sz val="11"/>
      <color theme="1"/>
      <name val="Times New Roman"/>
      <family val="1"/>
    </font>
    <font>
      <sz val="11"/>
      <color rgb="FFFF0000"/>
      <name val="Times New Roman"/>
      <family val="1"/>
    </font>
    <font>
      <sz val="12"/>
      <color theme="1"/>
      <name val=".VnArial Narrow"/>
      <family val="2"/>
    </font>
    <font>
      <b/>
      <sz val="12"/>
      <color theme="1"/>
      <name val=".VnArial Narrow"/>
      <family val="2"/>
    </font>
    <font>
      <b/>
      <sz val="9"/>
      <name val="Times New Roman"/>
      <family val="1"/>
    </font>
    <font>
      <b/>
      <sz val="11"/>
      <color theme="1"/>
      <name val=".VnArial Narrow"/>
      <family val="2"/>
    </font>
    <font>
      <b/>
      <sz val="10"/>
      <color theme="1"/>
      <name val="Times New Roman"/>
      <family val="1"/>
    </font>
    <font>
      <sz val="10"/>
      <color theme="1"/>
      <name val=".VnArial Narrow"/>
      <family val="2"/>
    </font>
    <font>
      <b/>
      <sz val="10"/>
      <color theme="1"/>
      <name val=".VnArial Narrow"/>
      <family val="2"/>
    </font>
    <font>
      <sz val="10"/>
      <color rgb="FFFF0000"/>
      <name val=".VnArial Narrow"/>
      <family val="2"/>
    </font>
    <font>
      <i/>
      <sz val="11"/>
      <color theme="1"/>
      <name val=".VnArial Narrow"/>
      <family val="2"/>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b/>
      <i/>
      <sz val="9"/>
      <name val="Times New Roman"/>
      <family val="1"/>
    </font>
    <font>
      <sz val="11"/>
      <color rgb="FFFF0000"/>
      <name val=".VnArial Narrow"/>
      <family val="2"/>
    </font>
    <font>
      <b/>
      <sz val="14"/>
      <color theme="1"/>
      <name val="Times New Roman"/>
      <family val="1"/>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9"/>
        <bgColor indexed="64"/>
      </patternFill>
    </fill>
    <fill>
      <patternFill patternType="solid">
        <fgColor indexed="5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right style="thin">
        <color indexed="64"/>
      </right>
      <top style="hair">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
      <left/>
      <right/>
      <top style="hair">
        <color indexed="64"/>
      </top>
      <bottom style="hair">
        <color indexed="64"/>
      </bottom>
      <diagonal/>
    </border>
  </borders>
  <cellStyleXfs count="1035">
    <xf numFmtId="0" fontId="0" fillId="0" borderId="0"/>
    <xf numFmtId="169" fontId="52" fillId="0" borderId="0" applyFont="0" applyFill="0" applyBorder="0" applyAlignment="0" applyProtection="0"/>
    <xf numFmtId="0" fontId="22" fillId="0" borderId="0" applyNumberFormat="0" applyFill="0" applyBorder="0" applyAlignment="0" applyProtection="0"/>
    <xf numFmtId="0" fontId="53" fillId="0" borderId="0"/>
    <xf numFmtId="3" fontId="54" fillId="0" borderId="1"/>
    <xf numFmtId="170" fontId="55" fillId="0" borderId="2" applyFont="0" applyBorder="0"/>
    <xf numFmtId="0" fontId="56" fillId="0" borderId="0"/>
    <xf numFmtId="171" fontId="22" fillId="0" borderId="0" applyFont="0" applyFill="0" applyBorder="0" applyAlignment="0" applyProtection="0"/>
    <xf numFmtId="0" fontId="57" fillId="0" borderId="0" applyFont="0" applyFill="0" applyBorder="0" applyAlignment="0" applyProtection="0"/>
    <xf numFmtId="172" fontId="22" fillId="0" borderId="0" applyFont="0" applyFill="0" applyBorder="0" applyAlignment="0" applyProtection="0"/>
    <xf numFmtId="0" fontId="58" fillId="0" borderId="0" applyNumberFormat="0" applyFill="0" applyBorder="0" applyAlignment="0" applyProtection="0"/>
    <xf numFmtId="0" fontId="59" fillId="0" borderId="0" applyFont="0" applyFill="0" applyBorder="0" applyAlignment="0" applyProtection="0"/>
    <xf numFmtId="0" fontId="60" fillId="0" borderId="3"/>
    <xf numFmtId="173" fontId="56" fillId="0" borderId="0" applyFont="0" applyFill="0" applyBorder="0" applyAlignment="0" applyProtection="0"/>
    <xf numFmtId="174" fontId="61" fillId="0" borderId="0" applyFont="0" applyFill="0" applyBorder="0" applyAlignment="0" applyProtection="0"/>
    <xf numFmtId="175" fontId="61" fillId="0" borderId="0" applyFont="0" applyFill="0" applyBorder="0" applyAlignment="0" applyProtection="0"/>
    <xf numFmtId="6" fontId="62" fillId="0" borderId="0" applyFont="0" applyFill="0" applyBorder="0" applyAlignment="0" applyProtection="0"/>
    <xf numFmtId="0" fontId="63"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64" fillId="0" borderId="0"/>
    <xf numFmtId="0" fontId="58" fillId="0" borderId="0" applyNumberFormat="0" applyFill="0" applyBorder="0" applyAlignment="0" applyProtection="0"/>
    <xf numFmtId="174" fontId="2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176" fontId="65" fillId="0" borderId="0" applyFont="0" applyFill="0" applyBorder="0" applyAlignment="0" applyProtection="0"/>
    <xf numFmtId="176" fontId="65" fillId="0" borderId="0" applyFont="0" applyFill="0" applyBorder="0" applyAlignment="0" applyProtection="0"/>
    <xf numFmtId="0" fontId="66" fillId="0" borderId="0"/>
    <xf numFmtId="0" fontId="66" fillId="0" borderId="0"/>
    <xf numFmtId="0" fontId="66" fillId="0" borderId="0"/>
    <xf numFmtId="177"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8" fontId="2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7" fillId="0" borderId="0"/>
    <xf numFmtId="0" fontId="67" fillId="0" borderId="0"/>
    <xf numFmtId="0" fontId="56" fillId="0" borderId="0" applyNumberFormat="0" applyFill="0" applyBorder="0" applyAlignment="0" applyProtection="0"/>
    <xf numFmtId="0" fontId="67" fillId="0" borderId="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0" fontId="67" fillId="0" borderId="0"/>
    <xf numFmtId="0" fontId="66" fillId="0" borderId="0" applyFont="0" applyFill="0" applyBorder="0" applyAlignment="0" applyProtection="0"/>
    <xf numFmtId="0" fontId="66"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176"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175" fontId="52"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76"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175" fontId="52" fillId="0" borderId="0" applyFont="0" applyFill="0" applyBorder="0" applyAlignment="0" applyProtection="0"/>
    <xf numFmtId="43"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0" fontId="56" fillId="0" borderId="0" applyNumberFormat="0" applyFill="0" applyBorder="0" applyAlignment="0" applyProtection="0"/>
    <xf numFmtId="0" fontId="69" fillId="0" borderId="0"/>
    <xf numFmtId="0" fontId="67" fillId="0" borderId="0"/>
    <xf numFmtId="42" fontId="65" fillId="0" borderId="0" applyFont="0" applyFill="0" applyBorder="0" applyAlignment="0" applyProtection="0"/>
    <xf numFmtId="42" fontId="65" fillId="0" borderId="0" applyFont="0" applyFill="0" applyBorder="0" applyAlignment="0" applyProtection="0"/>
    <xf numFmtId="0" fontId="67" fillId="0" borderId="0"/>
    <xf numFmtId="185"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74"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175" fontId="5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0" fontId="56" fillId="0" borderId="0" applyNumberFormat="0" applyFill="0" applyBorder="0" applyAlignment="0" applyProtection="0"/>
    <xf numFmtId="0" fontId="67" fillId="0" borderId="0"/>
    <xf numFmtId="0" fontId="67" fillId="0" borderId="0"/>
    <xf numFmtId="188" fontId="70" fillId="0" borderId="0" applyFont="0" applyFill="0" applyBorder="0" applyAlignment="0" applyProtection="0"/>
    <xf numFmtId="189" fontId="71" fillId="0" borderId="0" applyFont="0" applyFill="0" applyBorder="0" applyAlignment="0" applyProtection="0"/>
    <xf numFmtId="190" fontId="71" fillId="0" borderId="0" applyFont="0" applyFill="0" applyBorder="0" applyAlignment="0" applyProtection="0"/>
    <xf numFmtId="0" fontId="72" fillId="0" borderId="0"/>
    <xf numFmtId="0" fontId="72" fillId="0" borderId="0"/>
    <xf numFmtId="0" fontId="73" fillId="0" borderId="0"/>
    <xf numFmtId="0" fontId="10" fillId="0" borderId="0"/>
    <xf numFmtId="1" fontId="74" fillId="0" borderId="1" applyBorder="0" applyAlignment="0">
      <alignment horizontal="center"/>
    </xf>
    <xf numFmtId="3" fontId="54" fillId="0" borderId="1"/>
    <xf numFmtId="3" fontId="54" fillId="0" borderId="1"/>
    <xf numFmtId="0" fontId="75" fillId="2" borderId="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6" fillId="2" borderId="0"/>
    <xf numFmtId="0" fontId="76" fillId="2" borderId="0"/>
    <xf numFmtId="0" fontId="204" fillId="2" borderId="0"/>
    <xf numFmtId="0" fontId="76" fillId="2" borderId="0"/>
    <xf numFmtId="188" fontId="70" fillId="0" borderId="0" applyFont="0" applyFill="0" applyBorder="0" applyAlignment="0" applyProtection="0"/>
    <xf numFmtId="0" fontId="75" fillId="2" borderId="0"/>
    <xf numFmtId="0" fontId="76" fillId="2" borderId="0"/>
    <xf numFmtId="0" fontId="204" fillId="2" borderId="0"/>
    <xf numFmtId="0" fontId="76" fillId="2" borderId="0"/>
    <xf numFmtId="0" fontId="76" fillId="2" borderId="0"/>
    <xf numFmtId="0" fontId="75" fillId="2" borderId="0"/>
    <xf numFmtId="0" fontId="75" fillId="2" borderId="0"/>
    <xf numFmtId="0" fontId="77" fillId="0" borderId="0" applyFont="0" applyFill="0" applyBorder="0" applyAlignment="0">
      <alignment horizontal="left"/>
    </xf>
    <xf numFmtId="0" fontId="77" fillId="0" borderId="0" applyFont="0" applyFill="0" applyBorder="0" applyAlignment="0">
      <alignment horizontal="left"/>
    </xf>
    <xf numFmtId="0" fontId="76" fillId="2" borderId="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5" fillId="2" borderId="0"/>
    <xf numFmtId="0" fontId="78" fillId="0" borderId="1" applyNumberFormat="0" applyFont="0" applyBorder="0">
      <alignment horizontal="left" indent="2"/>
    </xf>
    <xf numFmtId="0" fontId="77" fillId="0" borderId="0" applyFont="0" applyFill="0" applyBorder="0" applyAlignment="0">
      <alignment horizontal="left"/>
    </xf>
    <xf numFmtId="0" fontId="77" fillId="0" borderId="0" applyFont="0" applyFill="0" applyBorder="0" applyAlignment="0">
      <alignment horizontal="left"/>
    </xf>
    <xf numFmtId="0" fontId="79" fillId="3" borderId="4" applyFont="0" applyFill="0" applyAlignment="0">
      <alignment vertical="center" wrapText="1"/>
    </xf>
    <xf numFmtId="9" fontId="80" fillId="0" borderId="0" applyBorder="0" applyAlignment="0" applyProtection="0"/>
    <xf numFmtId="0" fontId="81" fillId="2" borderId="0"/>
    <xf numFmtId="0" fontId="81"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1" fillId="2" borderId="0"/>
    <xf numFmtId="0" fontId="81" fillId="2" borderId="0"/>
    <xf numFmtId="0" fontId="78" fillId="0" borderId="1" applyNumberFormat="0" applyFont="0" applyBorder="0" applyAlignment="0">
      <alignment horizontal="center"/>
    </xf>
    <xf numFmtId="0" fontId="22" fillId="0" borderId="0"/>
    <xf numFmtId="0" fontId="58" fillId="0" borderId="0"/>
    <xf numFmtId="0" fontId="82" fillId="2" borderId="0"/>
    <xf numFmtId="0" fontId="82"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2" fillId="2" borderId="0"/>
    <xf numFmtId="0" fontId="83" fillId="0" borderId="0">
      <alignment wrapText="1"/>
    </xf>
    <xf numFmtId="0" fontId="83"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76" fillId="0" borderId="0">
      <alignment wrapText="1"/>
    </xf>
    <xf numFmtId="0" fontId="83" fillId="0" borderId="0">
      <alignment wrapText="1"/>
    </xf>
    <xf numFmtId="0" fontId="56" fillId="0" borderId="0"/>
    <xf numFmtId="0" fontId="56" fillId="0" borderId="0"/>
    <xf numFmtId="0" fontId="56" fillId="0" borderId="0"/>
    <xf numFmtId="0" fontId="23" fillId="0" borderId="0"/>
    <xf numFmtId="191" fontId="84" fillId="0" borderId="0" applyFont="0" applyFill="0" applyBorder="0" applyAlignment="0" applyProtection="0"/>
    <xf numFmtId="0" fontId="85" fillId="0" borderId="0" applyFont="0" applyFill="0" applyBorder="0" applyAlignment="0" applyProtection="0"/>
    <xf numFmtId="192" fontId="86" fillId="0" borderId="0" applyFont="0" applyFill="0" applyBorder="0" applyAlignment="0" applyProtection="0"/>
    <xf numFmtId="193" fontId="84" fillId="0" borderId="0" applyFont="0" applyFill="0" applyBorder="0" applyAlignment="0" applyProtection="0"/>
    <xf numFmtId="0" fontId="85" fillId="0" borderId="0" applyFont="0" applyFill="0" applyBorder="0" applyAlignment="0" applyProtection="0"/>
    <xf numFmtId="194" fontId="84" fillId="0" borderId="0" applyFont="0" applyFill="0" applyBorder="0" applyAlignment="0" applyProtection="0"/>
    <xf numFmtId="0" fontId="87" fillId="0" borderId="0">
      <alignment horizontal="center" wrapText="1"/>
      <protection locked="0"/>
    </xf>
    <xf numFmtId="0" fontId="88" fillId="0" borderId="0" applyNumberFormat="0" applyBorder="0" applyAlignment="0">
      <alignment horizontal="center"/>
    </xf>
    <xf numFmtId="195" fontId="89" fillId="0" borderId="0" applyFont="0" applyFill="0" applyBorder="0" applyAlignment="0" applyProtection="0"/>
    <xf numFmtId="0" fontId="85" fillId="0" borderId="0" applyFont="0" applyFill="0" applyBorder="0" applyAlignment="0" applyProtection="0"/>
    <xf numFmtId="196" fontId="65" fillId="0" borderId="0" applyFont="0" applyFill="0" applyBorder="0" applyAlignment="0" applyProtection="0"/>
    <xf numFmtId="197" fontId="89" fillId="0" borderId="0" applyFont="0" applyFill="0" applyBorder="0" applyAlignment="0" applyProtection="0"/>
    <xf numFmtId="0" fontId="85" fillId="0" borderId="0" applyFont="0" applyFill="0" applyBorder="0" applyAlignment="0" applyProtection="0"/>
    <xf numFmtId="198" fontId="65" fillId="0" borderId="0" applyFont="0" applyFill="0" applyBorder="0" applyAlignment="0" applyProtection="0"/>
    <xf numFmtId="169" fontId="52" fillId="0" borderId="0" applyFont="0" applyFill="0" applyBorder="0" applyAlignment="0" applyProtection="0"/>
    <xf numFmtId="0" fontId="90" fillId="0" borderId="0" applyNumberFormat="0" applyFill="0" applyBorder="0" applyAlignment="0" applyProtection="0"/>
    <xf numFmtId="0" fontId="85" fillId="0" borderId="0"/>
    <xf numFmtId="0" fontId="91" fillId="0" borderId="0"/>
    <xf numFmtId="0" fontId="10" fillId="0" borderId="0"/>
    <xf numFmtId="0" fontId="85" fillId="0" borderId="0"/>
    <xf numFmtId="0" fontId="92" fillId="0" borderId="0"/>
    <xf numFmtId="0" fontId="93" fillId="0" borderId="0"/>
    <xf numFmtId="0" fontId="94" fillId="0" borderId="0"/>
    <xf numFmtId="199" fontId="22" fillId="0" borderId="0" applyFill="0" applyBorder="0" applyAlignment="0"/>
    <xf numFmtId="200" fontId="95" fillId="0" borderId="0" applyFill="0" applyBorder="0" applyAlignment="0"/>
    <xf numFmtId="201" fontId="95" fillId="0" borderId="0" applyFill="0" applyBorder="0" applyAlignment="0"/>
    <xf numFmtId="202" fontId="95" fillId="0" borderId="0" applyFill="0" applyBorder="0" applyAlignment="0"/>
    <xf numFmtId="203" fontId="96"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97" fillId="0" borderId="0"/>
    <xf numFmtId="206" fontId="65" fillId="0" borderId="0" applyFont="0" applyFill="0" applyBorder="0" applyAlignment="0" applyProtection="0"/>
    <xf numFmtId="170" fontId="45" fillId="0" borderId="0" applyFont="0" applyFill="0" applyBorder="0" applyAlignment="0" applyProtection="0"/>
    <xf numFmtId="1" fontId="105" fillId="0" borderId="5" applyBorder="0"/>
    <xf numFmtId="43" fontId="2" fillId="0" borderId="0" applyFont="0" applyFill="0" applyBorder="0" applyAlignment="0" applyProtection="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8" fontId="99" fillId="0" borderId="0" applyFont="0" applyFill="0" applyBorder="0" applyAlignment="0" applyProtection="0"/>
    <xf numFmtId="195" fontId="100" fillId="0" borderId="0" applyFont="0" applyFill="0" applyBorder="0" applyAlignment="0" applyProtection="0"/>
    <xf numFmtId="204" fontId="95" fillId="0" borderId="0" applyFont="0" applyFill="0" applyBorder="0" applyAlignment="0" applyProtection="0"/>
    <xf numFmtId="43" fontId="100" fillId="0" borderId="0" applyFont="0" applyFill="0" applyBorder="0" applyAlignment="0" applyProtection="0"/>
    <xf numFmtId="43" fontId="6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97" fontId="10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09" fontId="58" fillId="0" borderId="0" applyFont="0" applyFill="0" applyBorder="0" applyAlignment="0" applyProtection="0"/>
    <xf numFmtId="43" fontId="24" fillId="0" borderId="0" applyFont="0" applyFill="0" applyBorder="0" applyAlignment="0" applyProtection="0"/>
    <xf numFmtId="165" fontId="50" fillId="0" borderId="0" applyFont="0" applyFill="0" applyBorder="0" applyAlignment="0" applyProtection="0"/>
    <xf numFmtId="210" fontId="58" fillId="0" borderId="0" applyFont="0" applyFill="0" applyBorder="0" applyAlignment="0" applyProtection="0"/>
    <xf numFmtId="43" fontId="96" fillId="0" borderId="0" applyFont="0" applyFill="0" applyBorder="0" applyAlignment="0" applyProtection="0"/>
    <xf numFmtId="43" fontId="58" fillId="0" borderId="0" applyFont="0" applyFill="0" applyBorder="0" applyAlignment="0" applyProtection="0"/>
    <xf numFmtId="43" fontId="100"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41" fillId="0" borderId="0" applyFont="0" applyFill="0" applyBorder="0" applyAlignment="0" applyProtection="0"/>
    <xf numFmtId="165" fontId="101" fillId="0" borderId="0" applyFont="0" applyFill="0" applyBorder="0" applyAlignment="0" applyProtection="0"/>
    <xf numFmtId="211" fontId="66" fillId="0" borderId="0"/>
    <xf numFmtId="3" fontId="58" fillId="0" borderId="0" applyFont="0" applyFill="0" applyBorder="0" applyAlignment="0" applyProtection="0"/>
    <xf numFmtId="0" fontId="102" fillId="0" borderId="0">
      <alignment horizontal="center"/>
    </xf>
    <xf numFmtId="0" fontId="103" fillId="0" borderId="0" applyNumberFormat="0" applyAlignment="0">
      <alignment horizontal="left"/>
    </xf>
    <xf numFmtId="180" fontId="104" fillId="0" borderId="0" applyFont="0" applyFill="0" applyBorder="0" applyAlignment="0" applyProtection="0"/>
    <xf numFmtId="212" fontId="91" fillId="0" borderId="0" applyFont="0" applyFill="0" applyBorder="0" applyAlignment="0" applyProtection="0"/>
    <xf numFmtId="213" fontId="101" fillId="0" borderId="0" applyFont="0" applyFill="0" applyBorder="0" applyAlignment="0" applyProtection="0"/>
    <xf numFmtId="200" fontId="95" fillId="0" borderId="0" applyFont="0" applyFill="0" applyBorder="0" applyAlignment="0" applyProtection="0"/>
    <xf numFmtId="214" fontId="58" fillId="0" borderId="0" applyFont="0" applyFill="0" applyBorder="0" applyAlignment="0" applyProtection="0"/>
    <xf numFmtId="215" fontId="66" fillId="0" borderId="0"/>
    <xf numFmtId="216" fontId="22" fillId="0" borderId="6"/>
    <xf numFmtId="0" fontId="58" fillId="0" borderId="0" applyFont="0" applyFill="0" applyBorder="0" applyAlignment="0" applyProtection="0"/>
    <xf numFmtId="14" fontId="68" fillId="0" borderId="0" applyFill="0" applyBorder="0" applyAlignment="0"/>
    <xf numFmtId="0" fontId="106" fillId="0" borderId="0" applyProtection="0"/>
    <xf numFmtId="3" fontId="107" fillId="0" borderId="7">
      <alignment horizontal="left" vertical="top" wrapText="1"/>
    </xf>
    <xf numFmtId="0" fontId="58" fillId="0" borderId="0" applyFont="0" applyFill="0" applyBorder="0" applyAlignment="0" applyProtection="0"/>
    <xf numFmtId="0" fontId="58" fillId="0" borderId="0" applyFont="0" applyFill="0" applyBorder="0" applyAlignment="0" applyProtection="0"/>
    <xf numFmtId="217" fontId="22" fillId="0" borderId="0"/>
    <xf numFmtId="218" fontId="56" fillId="0" borderId="1"/>
    <xf numFmtId="219" fontId="66" fillId="0" borderId="0"/>
    <xf numFmtId="220" fontId="56" fillId="0" borderId="0"/>
    <xf numFmtId="174" fontId="108" fillId="0" borderId="0" applyFont="0" applyFill="0" applyBorder="0" applyAlignment="0" applyProtection="0"/>
    <xf numFmtId="175"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174" fontId="108" fillId="0" borderId="0" applyFont="0" applyFill="0" applyBorder="0" applyAlignment="0" applyProtection="0"/>
    <xf numFmtId="174"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2" fontId="22" fillId="0" borderId="0" applyFont="0" applyFill="0" applyBorder="0" applyAlignment="0" applyProtection="0"/>
    <xf numFmtId="222" fontId="22" fillId="0" borderId="0" applyFont="0" applyFill="0" applyBorder="0" applyAlignment="0" applyProtection="0"/>
    <xf numFmtId="223" fontId="22" fillId="0" borderId="0" applyFont="0" applyFill="0" applyBorder="0" applyAlignment="0" applyProtection="0"/>
    <xf numFmtId="223" fontId="22"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175" fontId="108" fillId="0" borderId="0" applyFont="0" applyFill="0" applyBorder="0" applyAlignment="0" applyProtection="0"/>
    <xf numFmtId="175"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5" fontId="22" fillId="0" borderId="0" applyFont="0" applyFill="0" applyBorder="0" applyAlignment="0" applyProtection="0"/>
    <xf numFmtId="225"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3" fontId="22" fillId="0" borderId="0" applyFont="0" applyBorder="0" applyAlignment="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09" fillId="0" borderId="0" applyNumberFormat="0" applyAlignment="0">
      <alignment horizontal="left"/>
    </xf>
    <xf numFmtId="0" fontId="110" fillId="0" borderId="0"/>
    <xf numFmtId="0" fontId="111" fillId="0" borderId="0"/>
    <xf numFmtId="3" fontId="22" fillId="0" borderId="0" applyFont="0" applyBorder="0" applyAlignment="0"/>
    <xf numFmtId="2" fontId="58" fillId="0" borderId="0" applyFont="0" applyFill="0" applyBorder="0" applyAlignment="0" applyProtection="0"/>
    <xf numFmtId="0" fontId="113" fillId="0" borderId="0">
      <alignment vertical="top" wrapText="1"/>
    </xf>
    <xf numFmtId="38" fontId="112" fillId="2" borderId="0" applyNumberFormat="0" applyBorder="0" applyAlignment="0" applyProtection="0"/>
    <xf numFmtId="227" fontId="48" fillId="2" borderId="0" applyBorder="0" applyProtection="0"/>
    <xf numFmtId="0" fontId="114" fillId="0" borderId="8" applyNumberFormat="0" applyFill="0" applyBorder="0" applyAlignment="0" applyProtection="0">
      <alignment horizontal="center" vertical="center"/>
    </xf>
    <xf numFmtId="0" fontId="115" fillId="0" borderId="0" applyNumberFormat="0" applyFont="0" applyBorder="0" applyAlignment="0">
      <alignment horizontal="left" vertical="center"/>
    </xf>
    <xf numFmtId="166" fontId="17" fillId="0" borderId="0" applyFont="0" applyFill="0" applyBorder="0" applyAlignment="0" applyProtection="0"/>
    <xf numFmtId="0" fontId="116" fillId="4" borderId="0"/>
    <xf numFmtId="0" fontId="117" fillId="0" borderId="0">
      <alignment horizontal="left"/>
    </xf>
    <xf numFmtId="0" fontId="118" fillId="0" borderId="9" applyNumberFormat="0" applyAlignment="0" applyProtection="0">
      <alignment horizontal="left" vertical="center"/>
    </xf>
    <xf numFmtId="0" fontId="118" fillId="0" borderId="10">
      <alignment horizontal="left" vertical="center"/>
    </xf>
    <xf numFmtId="0" fontId="46" fillId="0" borderId="0" applyProtection="0"/>
    <xf numFmtId="0" fontId="118" fillId="0" borderId="0" applyProtection="0"/>
    <xf numFmtId="0" fontId="119" fillId="0" borderId="11">
      <alignment horizontal="center"/>
    </xf>
    <xf numFmtId="0" fontId="119" fillId="0" borderId="0">
      <alignment horizontal="center"/>
    </xf>
    <xf numFmtId="5" fontId="120" fillId="5" borderId="1" applyNumberFormat="0" applyAlignment="0">
      <alignment horizontal="left" vertical="top"/>
    </xf>
    <xf numFmtId="49" fontId="21" fillId="0" borderId="1">
      <alignment vertical="center"/>
    </xf>
    <xf numFmtId="0" fontId="10" fillId="0" borderId="0"/>
    <xf numFmtId="174" fontId="22" fillId="0" borderId="0" applyFont="0" applyFill="0" applyBorder="0" applyAlignment="0" applyProtection="0"/>
    <xf numFmtId="38" fontId="66" fillId="0" borderId="0" applyFont="0" applyFill="0" applyBorder="0" applyAlignment="0" applyProtection="0"/>
    <xf numFmtId="178" fontId="65" fillId="0" borderId="0" applyFont="0" applyFill="0" applyBorder="0" applyAlignment="0" applyProtection="0"/>
    <xf numFmtId="228" fontId="121" fillId="0" borderId="0" applyFont="0" applyFill="0" applyBorder="0" applyAlignment="0" applyProtection="0"/>
    <xf numFmtId="10" fontId="112" fillId="6" borderId="1" applyNumberFormat="0" applyBorder="0" applyAlignment="0" applyProtection="0"/>
    <xf numFmtId="0" fontId="122" fillId="0" borderId="0" applyNumberFormat="0" applyFill="0" applyBorder="0" applyAlignment="0" applyProtection="0">
      <alignment vertical="top"/>
      <protection locked="0"/>
    </xf>
    <xf numFmtId="0" fontId="123" fillId="0" borderId="0" applyNumberFormat="0" applyFill="0" applyBorder="0" applyAlignment="0" applyProtection="0">
      <alignment vertical="top"/>
      <protection locked="0"/>
    </xf>
    <xf numFmtId="0" fontId="124"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174" fontId="22" fillId="0" borderId="0" applyFont="0" applyFill="0" applyBorder="0" applyAlignment="0" applyProtection="0"/>
    <xf numFmtId="0" fontId="22" fillId="0" borderId="0"/>
    <xf numFmtId="0" fontId="87" fillId="0" borderId="12">
      <alignment horizontal="centerContinuous"/>
    </xf>
    <xf numFmtId="0" fontId="66" fillId="0" borderId="0"/>
    <xf numFmtId="0" fontId="66" fillId="0" borderId="0"/>
    <xf numFmtId="0" fontId="10" fillId="0" borderId="0" applyNumberFormat="0" applyFont="0" applyFill="0" applyBorder="0" applyProtection="0">
      <alignment horizontal="left" vertical="center"/>
    </xf>
    <xf numFmtId="0" fontId="66" fillId="0" borderId="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216" fontId="125" fillId="0" borderId="13" applyNumberFormat="0" applyFont="0" applyFill="0" applyBorder="0">
      <alignment horizontal="center"/>
    </xf>
    <xf numFmtId="38" fontId="66" fillId="0" borderId="0" applyFont="0" applyFill="0" applyBorder="0" applyAlignment="0" applyProtection="0"/>
    <xf numFmtId="40" fontId="66" fillId="0" borderId="0" applyFont="0" applyFill="0" applyBorder="0" applyAlignment="0" applyProtection="0"/>
    <xf numFmtId="174" fontId="96" fillId="0" borderId="0" applyFont="0" applyFill="0" applyBorder="0" applyAlignment="0" applyProtection="0"/>
    <xf numFmtId="175" fontId="96" fillId="0" borderId="0" applyFont="0" applyFill="0" applyBorder="0" applyAlignment="0" applyProtection="0"/>
    <xf numFmtId="0" fontId="126" fillId="0" borderId="11"/>
    <xf numFmtId="229" fontId="127" fillId="0" borderId="13"/>
    <xf numFmtId="230" fontId="66" fillId="0" borderId="0" applyFont="0" applyFill="0" applyBorder="0" applyAlignment="0" applyProtection="0"/>
    <xf numFmtId="231" fontId="66" fillId="0" borderId="0" applyFont="0" applyFill="0" applyBorder="0" applyAlignment="0" applyProtection="0"/>
    <xf numFmtId="232" fontId="96" fillId="0" borderId="0" applyFont="0" applyFill="0" applyBorder="0" applyAlignment="0" applyProtection="0"/>
    <xf numFmtId="233" fontId="96" fillId="0" borderId="0" applyFont="0" applyFill="0" applyBorder="0" applyAlignment="0" applyProtection="0"/>
    <xf numFmtId="0" fontId="106" fillId="0" borderId="0" applyNumberFormat="0" applyFont="0" applyFill="0" applyAlignment="0"/>
    <xf numFmtId="0" fontId="10" fillId="0" borderId="0"/>
    <xf numFmtId="0" fontId="56" fillId="0" borderId="14" applyNumberFormat="0" applyAlignment="0">
      <alignment horizontal="center"/>
    </xf>
    <xf numFmtId="37" fontId="128" fillId="0" borderId="0"/>
    <xf numFmtId="0" fontId="129" fillId="0" borderId="1" applyNumberFormat="0" applyFont="0" applyFill="0" applyBorder="0" applyAlignment="0">
      <alignment horizontal="center"/>
    </xf>
    <xf numFmtId="0" fontId="130" fillId="0" borderId="0"/>
    <xf numFmtId="0" fontId="131"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22" fillId="0" borderId="0"/>
    <xf numFmtId="0" fontId="132" fillId="0" borderId="0"/>
    <xf numFmtId="0" fontId="101" fillId="0" borderId="0"/>
    <xf numFmtId="0" fontId="100" fillId="0" borderId="0"/>
    <xf numFmtId="0" fontId="24" fillId="0" borderId="0"/>
    <xf numFmtId="0" fontId="100" fillId="0" borderId="0"/>
    <xf numFmtId="0" fontId="24" fillId="0" borderId="0"/>
    <xf numFmtId="0" fontId="41" fillId="0" borderId="0"/>
    <xf numFmtId="0" fontId="58" fillId="0" borderId="0"/>
    <xf numFmtId="0" fontId="22" fillId="0" borderId="0"/>
    <xf numFmtId="0" fontId="20" fillId="0" borderId="0"/>
    <xf numFmtId="0" fontId="58" fillId="0" borderId="0"/>
    <xf numFmtId="0" fontId="58" fillId="0" borderId="0"/>
    <xf numFmtId="0" fontId="58" fillId="0" borderId="0"/>
    <xf numFmtId="0" fontId="58" fillId="0" borderId="0"/>
    <xf numFmtId="0" fontId="228" fillId="0" borderId="0"/>
    <xf numFmtId="0" fontId="50" fillId="0" borderId="0"/>
    <xf numFmtId="0" fontId="133" fillId="0" borderId="0"/>
    <xf numFmtId="0" fontId="58" fillId="0" borderId="0"/>
    <xf numFmtId="0" fontId="10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0" fillId="0" borderId="0"/>
    <xf numFmtId="0" fontId="41" fillId="0" borderId="0"/>
    <xf numFmtId="0" fontId="41" fillId="0" borderId="0"/>
    <xf numFmtId="0" fontId="101" fillId="0" borderId="0"/>
    <xf numFmtId="0" fontId="22" fillId="0" borderId="0"/>
    <xf numFmtId="0" fontId="52" fillId="0" borderId="0"/>
    <xf numFmtId="0" fontId="134" fillId="0" borderId="0" applyNumberFormat="0" applyFill="0" applyBorder="0" applyProtection="0">
      <alignment vertical="top"/>
    </xf>
    <xf numFmtId="0" fontId="106" fillId="0" borderId="0"/>
    <xf numFmtId="0" fontId="22" fillId="0" borderId="0"/>
    <xf numFmtId="0" fontId="22" fillId="0" borderId="0"/>
    <xf numFmtId="0" fontId="100" fillId="0" borderId="0"/>
    <xf numFmtId="0" fontId="58" fillId="0" borderId="0"/>
    <xf numFmtId="0" fontId="20" fillId="0" borderId="0"/>
    <xf numFmtId="0" fontId="50" fillId="0" borderId="0"/>
    <xf numFmtId="0" fontId="58" fillId="0" borderId="0"/>
    <xf numFmtId="0" fontId="18" fillId="0" borderId="0"/>
    <xf numFmtId="0" fontId="51" fillId="0" borderId="0"/>
    <xf numFmtId="0" fontId="22" fillId="0" borderId="0"/>
    <xf numFmtId="0" fontId="74" fillId="0" borderId="0" applyFont="0"/>
    <xf numFmtId="0" fontId="108" fillId="0" borderId="0"/>
    <xf numFmtId="234" fontId="69" fillId="0" borderId="0" applyFont="0" applyFill="0" applyBorder="0" applyProtection="0">
      <alignment vertical="top" wrapText="1"/>
    </xf>
    <xf numFmtId="0" fontId="56" fillId="0" borderId="0"/>
    <xf numFmtId="175" fontId="72" fillId="0" borderId="0" applyFont="0" applyFill="0" applyBorder="0" applyAlignment="0" applyProtection="0"/>
    <xf numFmtId="174" fontId="72"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91" fillId="0" borderId="0" applyNumberFormat="0" applyFill="0" applyBorder="0" applyAlignment="0" applyProtection="0"/>
    <xf numFmtId="0" fontId="22" fillId="0" borderId="0" applyNumberFormat="0" applyFill="0" applyBorder="0" applyAlignment="0" applyProtection="0"/>
    <xf numFmtId="0" fontId="58" fillId="0" borderId="0" applyFont="0" applyFill="0" applyBorder="0" applyAlignment="0" applyProtection="0"/>
    <xf numFmtId="0" fontId="10" fillId="0" borderId="0"/>
    <xf numFmtId="170" fontId="29" fillId="0" borderId="14" applyFont="0" applyBorder="0" applyAlignment="0"/>
    <xf numFmtId="41" fontId="58" fillId="0" borderId="0" applyFont="0" applyFill="0" applyBorder="0" applyAlignment="0" applyProtection="0"/>
    <xf numFmtId="14" fontId="87" fillId="0" borderId="0">
      <alignment horizontal="center" wrapText="1"/>
      <protection locked="0"/>
    </xf>
    <xf numFmtId="203" fontId="96" fillId="0" borderId="0" applyFont="0" applyFill="0" applyBorder="0" applyAlignment="0" applyProtection="0"/>
    <xf numFmtId="235" fontId="96" fillId="0" borderId="0" applyFont="0" applyFill="0" applyBorder="0" applyAlignment="0" applyProtection="0"/>
    <xf numFmtId="10" fontId="96" fillId="0" borderId="0" applyFont="0" applyFill="0" applyBorder="0" applyAlignment="0" applyProtection="0"/>
    <xf numFmtId="9" fontId="58" fillId="0" borderId="0" applyFont="0" applyFill="0" applyBorder="0" applyAlignment="0" applyProtection="0"/>
    <xf numFmtId="9" fontId="50" fillId="0" borderId="0" applyFont="0" applyFill="0" applyBorder="0" applyAlignment="0" applyProtection="0"/>
    <xf numFmtId="9" fontId="24" fillId="0" borderId="0" applyFont="0" applyFill="0" applyBorder="0" applyAlignment="0" applyProtection="0"/>
    <xf numFmtId="0" fontId="58" fillId="0" borderId="0"/>
    <xf numFmtId="9" fontId="41" fillId="0" borderId="0" applyFont="0" applyFill="0" applyBorder="0" applyAlignment="0" applyProtection="0"/>
    <xf numFmtId="9" fontId="136" fillId="0" borderId="0" applyFont="0" applyFill="0" applyBorder="0" applyAlignment="0" applyProtection="0"/>
    <xf numFmtId="9" fontId="66" fillId="0" borderId="15" applyNumberFormat="0" applyBorder="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37" fillId="0" borderId="0"/>
    <xf numFmtId="0" fontId="66" fillId="0" borderId="0" applyNumberFormat="0" applyFont="0" applyFill="0" applyBorder="0" applyAlignment="0" applyProtection="0">
      <alignment horizontal="left"/>
    </xf>
    <xf numFmtId="0" fontId="138" fillId="0" borderId="11">
      <alignment horizontal="center"/>
    </xf>
    <xf numFmtId="1" fontId="58" fillId="0" borderId="7" applyNumberFormat="0" applyFill="0" applyAlignment="0" applyProtection="0">
      <alignment horizontal="center" vertical="center"/>
    </xf>
    <xf numFmtId="0" fontId="139" fillId="7" borderId="0" applyNumberFormat="0" applyFont="0" applyBorder="0" applyAlignment="0">
      <alignment horizontal="center"/>
    </xf>
    <xf numFmtId="14" fontId="140" fillId="0" borderId="0" applyNumberFormat="0" applyFill="0" applyBorder="0" applyAlignment="0" applyProtection="0">
      <alignment horizontal="left"/>
    </xf>
    <xf numFmtId="0" fontId="123" fillId="0" borderId="0" applyNumberFormat="0" applyFill="0" applyBorder="0" applyAlignment="0" applyProtection="0">
      <alignment vertical="top"/>
      <protection locked="0"/>
    </xf>
    <xf numFmtId="0" fontId="56" fillId="0" borderId="0"/>
    <xf numFmtId="178" fontId="65" fillId="0" borderId="0" applyFont="0" applyFill="0" applyBorder="0" applyAlignment="0" applyProtection="0"/>
    <xf numFmtId="0" fontId="22" fillId="0" borderId="0" applyNumberFormat="0" applyFill="0" applyBorder="0" applyAlignment="0" applyProtection="0"/>
    <xf numFmtId="41" fontId="65" fillId="0" borderId="0" applyFont="0" applyFill="0" applyBorder="0" applyAlignment="0" applyProtection="0"/>
    <xf numFmtId="4" fontId="141" fillId="8" borderId="16" applyNumberFormat="0" applyProtection="0">
      <alignment vertical="center"/>
    </xf>
    <xf numFmtId="4" fontId="142" fillId="8" borderId="16" applyNumberFormat="0" applyProtection="0">
      <alignment vertical="center"/>
    </xf>
    <xf numFmtId="4" fontId="143" fillId="8" borderId="16" applyNumberFormat="0" applyProtection="0">
      <alignment horizontal="left" vertical="center" indent="1"/>
    </xf>
    <xf numFmtId="4" fontId="143" fillId="9" borderId="0" applyNumberFormat="0" applyProtection="0">
      <alignment horizontal="left" vertical="center" indent="1"/>
    </xf>
    <xf numFmtId="4" fontId="143" fillId="10" borderId="16" applyNumberFormat="0" applyProtection="0">
      <alignment horizontal="right" vertical="center"/>
    </xf>
    <xf numFmtId="4" fontId="143" fillId="11" borderId="16" applyNumberFormat="0" applyProtection="0">
      <alignment horizontal="right" vertical="center"/>
    </xf>
    <xf numFmtId="4" fontId="143" fillId="12" borderId="16" applyNumberFormat="0" applyProtection="0">
      <alignment horizontal="right" vertical="center"/>
    </xf>
    <xf numFmtId="4" fontId="143" fillId="13" borderId="16" applyNumberFormat="0" applyProtection="0">
      <alignment horizontal="right" vertical="center"/>
    </xf>
    <xf numFmtId="4" fontId="143" fillId="14" borderId="16" applyNumberFormat="0" applyProtection="0">
      <alignment horizontal="right" vertical="center"/>
    </xf>
    <xf numFmtId="4" fontId="143" fillId="15" borderId="16" applyNumberFormat="0" applyProtection="0">
      <alignment horizontal="right" vertical="center"/>
    </xf>
    <xf numFmtId="4" fontId="143" fillId="16" borderId="16" applyNumberFormat="0" applyProtection="0">
      <alignment horizontal="right" vertical="center"/>
    </xf>
    <xf numFmtId="4" fontId="143" fillId="17" borderId="16" applyNumberFormat="0" applyProtection="0">
      <alignment horizontal="right" vertical="center"/>
    </xf>
    <xf numFmtId="4" fontId="143" fillId="18" borderId="16" applyNumberFormat="0" applyProtection="0">
      <alignment horizontal="right" vertical="center"/>
    </xf>
    <xf numFmtId="4" fontId="141" fillId="19" borderId="17" applyNumberFormat="0" applyProtection="0">
      <alignment horizontal="left" vertical="center" indent="1"/>
    </xf>
    <xf numFmtId="4" fontId="141" fillId="20" borderId="0" applyNumberFormat="0" applyProtection="0">
      <alignment horizontal="left" vertical="center" indent="1"/>
    </xf>
    <xf numFmtId="4" fontId="141" fillId="9" borderId="0" applyNumberFormat="0" applyProtection="0">
      <alignment horizontal="left" vertical="center" indent="1"/>
    </xf>
    <xf numFmtId="4" fontId="143" fillId="20" borderId="16" applyNumberFormat="0" applyProtection="0">
      <alignment horizontal="right" vertical="center"/>
    </xf>
    <xf numFmtId="4" fontId="68" fillId="20" borderId="0" applyNumberFormat="0" applyProtection="0">
      <alignment horizontal="left" vertical="center" indent="1"/>
    </xf>
    <xf numFmtId="4" fontId="68" fillId="9" borderId="0" applyNumberFormat="0" applyProtection="0">
      <alignment horizontal="left" vertical="center" indent="1"/>
    </xf>
    <xf numFmtId="4" fontId="143" fillId="21" borderId="16" applyNumberFormat="0" applyProtection="0">
      <alignment vertical="center"/>
    </xf>
    <xf numFmtId="4" fontId="144" fillId="21" borderId="16" applyNumberFormat="0" applyProtection="0">
      <alignment vertical="center"/>
    </xf>
    <xf numFmtId="4" fontId="141" fillId="20" borderId="18" applyNumberFormat="0" applyProtection="0">
      <alignment horizontal="left" vertical="center" indent="1"/>
    </xf>
    <xf numFmtId="4" fontId="143" fillId="21" borderId="16" applyNumberFormat="0" applyProtection="0">
      <alignment horizontal="right" vertical="center"/>
    </xf>
    <xf numFmtId="4" fontId="144" fillId="21" borderId="16" applyNumberFormat="0" applyProtection="0">
      <alignment horizontal="right" vertical="center"/>
    </xf>
    <xf numFmtId="4" fontId="141" fillId="20" borderId="16" applyNumberFormat="0" applyProtection="0">
      <alignment horizontal="left" vertical="center" indent="1"/>
    </xf>
    <xf numFmtId="4" fontId="145" fillId="5" borderId="18" applyNumberFormat="0" applyProtection="0">
      <alignment horizontal="left" vertical="center" indent="1"/>
    </xf>
    <xf numFmtId="4" fontId="146" fillId="21" borderId="16" applyNumberFormat="0" applyProtection="0">
      <alignment horizontal="right" vertical="center"/>
    </xf>
    <xf numFmtId="236" fontId="147" fillId="0" borderId="0" applyFont="0" applyFill="0" applyBorder="0" applyAlignment="0" applyProtection="0"/>
    <xf numFmtId="0" fontId="139" fillId="1" borderId="10" applyNumberFormat="0" applyFont="0" applyAlignment="0">
      <alignment horizontal="center"/>
    </xf>
    <xf numFmtId="3" fontId="52" fillId="0" borderId="0"/>
    <xf numFmtId="0" fontId="148" fillId="0" borderId="0" applyNumberFormat="0" applyFill="0" applyBorder="0" applyAlignment="0">
      <alignment horizontal="center"/>
    </xf>
    <xf numFmtId="0" fontId="149" fillId="0" borderId="19" applyNumberFormat="0" applyFill="0" applyBorder="0" applyAlignment="0" applyProtection="0"/>
    <xf numFmtId="170" fontId="150" fillId="0" borderId="0" applyNumberFormat="0" applyBorder="0" applyAlignment="0">
      <alignment horizontal="centerContinuous"/>
    </xf>
    <xf numFmtId="176"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3" fontId="65" fillId="0" borderId="0" applyFont="0" applyFill="0" applyBorder="0" applyAlignment="0" applyProtection="0"/>
    <xf numFmtId="0" fontId="56" fillId="0" borderId="0"/>
    <xf numFmtId="237" fontId="91" fillId="0" borderId="0" applyFont="0" applyFill="0" applyBorder="0" applyAlignment="0" applyProtection="0"/>
    <xf numFmtId="178"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6"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6"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64" fontId="65"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56" fillId="0" borderId="0"/>
    <xf numFmtId="237" fontId="91"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14" fontId="151" fillId="0" borderId="0"/>
    <xf numFmtId="0" fontId="152" fillId="0" borderId="0"/>
    <xf numFmtId="0" fontId="126" fillId="0" borderId="0"/>
    <xf numFmtId="40" fontId="153" fillId="0" borderId="0" applyBorder="0">
      <alignment horizontal="right"/>
    </xf>
    <xf numFmtId="0" fontId="154" fillId="0" borderId="0"/>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9" fontId="155"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0" fontId="23" fillId="0" borderId="20">
      <alignment horizontal="right" vertical="center"/>
    </xf>
    <xf numFmtId="241" fontId="45" fillId="0" borderId="20">
      <alignment horizontal="right" vertical="center"/>
    </xf>
    <xf numFmtId="242" fontId="65" fillId="0" borderId="20">
      <alignment horizontal="right" vertical="center"/>
    </xf>
    <xf numFmtId="240" fontId="23" fillId="0" borderId="20">
      <alignment horizontal="right" vertical="center"/>
    </xf>
    <xf numFmtId="243" fontId="22" fillId="0" borderId="20">
      <alignment horizontal="right" vertical="center"/>
    </xf>
    <xf numFmtId="244" fontId="58" fillId="0" borderId="20">
      <alignment horizontal="right" vertical="center"/>
    </xf>
    <xf numFmtId="243" fontId="22" fillId="0" borderId="20">
      <alignment horizontal="right" vertical="center"/>
    </xf>
    <xf numFmtId="242" fontId="65" fillId="0" borderId="20">
      <alignment horizontal="right" vertical="center"/>
    </xf>
    <xf numFmtId="242" fontId="65" fillId="0" borderId="20">
      <alignment horizontal="right" vertical="center"/>
    </xf>
    <xf numFmtId="242" fontId="65" fillId="0" borderId="20">
      <alignment horizontal="right" vertical="center"/>
    </xf>
    <xf numFmtId="238" fontId="91" fillId="0" borderId="20">
      <alignment horizontal="right" vertical="center"/>
    </xf>
    <xf numFmtId="238" fontId="91" fillId="0" borderId="20">
      <alignment horizontal="right" vertical="center"/>
    </xf>
    <xf numFmtId="242" fontId="65" fillId="0" borderId="20">
      <alignment horizontal="right" vertical="center"/>
    </xf>
    <xf numFmtId="245" fontId="58" fillId="0" borderId="20">
      <alignment horizontal="right" vertical="center"/>
    </xf>
    <xf numFmtId="242" fontId="65" fillId="0" borderId="20">
      <alignment horizontal="right" vertical="center"/>
    </xf>
    <xf numFmtId="238" fontId="91" fillId="0" borderId="20">
      <alignment horizontal="right" vertical="center"/>
    </xf>
    <xf numFmtId="246" fontId="156" fillId="2" borderId="21" applyFont="0" applyFill="0" applyBorder="0"/>
    <xf numFmtId="238" fontId="91" fillId="0" borderId="20">
      <alignment horizontal="right" vertical="center"/>
    </xf>
    <xf numFmtId="238" fontId="91" fillId="0" borderId="20">
      <alignment horizontal="right" vertical="center"/>
    </xf>
    <xf numFmtId="246" fontId="156" fillId="2" borderId="21" applyFont="0" applyFill="0" applyBorder="0"/>
    <xf numFmtId="245" fontId="58" fillId="0" borderId="20">
      <alignment horizontal="right" vertical="center"/>
    </xf>
    <xf numFmtId="243" fontId="22" fillId="0" borderId="20">
      <alignment horizontal="right" vertical="center"/>
    </xf>
    <xf numFmtId="245" fontId="58" fillId="0" borderId="20">
      <alignment horizontal="right" vertical="center"/>
    </xf>
    <xf numFmtId="238" fontId="91" fillId="0" borderId="20">
      <alignment horizontal="right" vertical="center"/>
    </xf>
    <xf numFmtId="245" fontId="58" fillId="0" borderId="20">
      <alignment horizontal="right" vertical="center"/>
    </xf>
    <xf numFmtId="245" fontId="58" fillId="0" borderId="20">
      <alignment horizontal="right" vertical="center"/>
    </xf>
    <xf numFmtId="242" fontId="65" fillId="0" borderId="20">
      <alignment horizontal="right" vertical="center"/>
    </xf>
    <xf numFmtId="245" fontId="58" fillId="0" borderId="20">
      <alignment horizontal="right" vertical="center"/>
    </xf>
    <xf numFmtId="243" fontId="22" fillId="0" borderId="20">
      <alignment horizontal="right" vertical="center"/>
    </xf>
    <xf numFmtId="240" fontId="23" fillId="0" borderId="20">
      <alignment horizontal="right" vertical="center"/>
    </xf>
    <xf numFmtId="240" fontId="23" fillId="0" borderId="20">
      <alignment horizontal="right" vertical="center"/>
    </xf>
    <xf numFmtId="247"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8"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6" fontId="156" fillId="2" borderId="21" applyFont="0" applyFill="0" applyBorder="0"/>
    <xf numFmtId="232" fontId="22" fillId="0" borderId="20">
      <alignment horizontal="right" vertical="center"/>
    </xf>
    <xf numFmtId="239" fontId="155" fillId="0" borderId="20">
      <alignment horizontal="right" vertical="center"/>
    </xf>
    <xf numFmtId="238" fontId="91" fillId="0" borderId="20">
      <alignment horizontal="right" vertical="center"/>
    </xf>
    <xf numFmtId="247" fontId="22" fillId="0" borderId="20">
      <alignment horizontal="right" vertical="center"/>
    </xf>
    <xf numFmtId="246" fontId="156" fillId="2" borderId="21" applyFont="0" applyFill="0" applyBorder="0"/>
    <xf numFmtId="249" fontId="157" fillId="0" borderId="20">
      <alignment horizontal="right" vertical="center"/>
    </xf>
    <xf numFmtId="49" fontId="68" fillId="0" borderId="0" applyFill="0" applyBorder="0" applyAlignment="0"/>
    <xf numFmtId="250" fontId="96" fillId="0" borderId="0" applyFill="0" applyBorder="0" applyAlignment="0"/>
    <xf numFmtId="248" fontId="96" fillId="0" borderId="0" applyFill="0" applyBorder="0" applyAlignment="0"/>
    <xf numFmtId="183" fontId="91" fillId="0" borderId="20">
      <alignment horizontal="center"/>
    </xf>
    <xf numFmtId="252" fontId="164" fillId="0" borderId="0" applyNumberFormat="0" applyFont="0" applyFill="0" applyBorder="0" applyAlignment="0">
      <alignment horizontal="centerContinuous"/>
    </xf>
    <xf numFmtId="0" fontId="165" fillId="0" borderId="22"/>
    <xf numFmtId="0" fontId="91" fillId="0" borderId="0" applyNumberFormat="0" applyFill="0" applyBorder="0" applyAlignment="0" applyProtection="0"/>
    <xf numFmtId="0" fontId="58" fillId="0" borderId="0" applyNumberFormat="0" applyFill="0" applyBorder="0" applyAlignment="0" applyProtection="0"/>
    <xf numFmtId="0" fontId="135" fillId="0" borderId="0" applyNumberFormat="0" applyFill="0" applyBorder="0" applyAlignment="0" applyProtection="0"/>
    <xf numFmtId="0" fontId="45" fillId="0" borderId="14" applyNumberFormat="0" applyBorder="0" applyAlignment="0"/>
    <xf numFmtId="0" fontId="166" fillId="0" borderId="13" applyNumberFormat="0" applyBorder="0" applyAlignment="0">
      <alignment horizontal="center"/>
    </xf>
    <xf numFmtId="3" fontId="167" fillId="0" borderId="8" applyNumberFormat="0" applyBorder="0" applyAlignment="0"/>
    <xf numFmtId="0" fontId="158" fillId="0" borderId="14">
      <alignment horizontal="center" vertical="center" wrapText="1"/>
    </xf>
    <xf numFmtId="0" fontId="159" fillId="0" borderId="0">
      <alignment horizontal="center"/>
    </xf>
    <xf numFmtId="40" fontId="48" fillId="0" borderId="0"/>
    <xf numFmtId="3" fontId="160" fillId="0" borderId="0" applyNumberFormat="0" applyFill="0" applyBorder="0" applyAlignment="0" applyProtection="0">
      <alignment horizontal="center" wrapText="1"/>
    </xf>
    <xf numFmtId="0" fontId="161" fillId="0" borderId="23" applyBorder="0" applyAlignment="0">
      <alignment horizontal="center" vertical="center"/>
    </xf>
    <xf numFmtId="0" fontId="162" fillId="0" borderId="0" applyNumberFormat="0" applyFill="0" applyBorder="0" applyAlignment="0" applyProtection="0">
      <alignment horizontal="centerContinuous"/>
    </xf>
    <xf numFmtId="0" fontId="114" fillId="0" borderId="24" applyNumberFormat="0" applyFill="0" applyBorder="0" applyAlignment="0" applyProtection="0">
      <alignment horizontal="center" vertical="center" wrapText="1"/>
    </xf>
    <xf numFmtId="0" fontId="163" fillId="0" borderId="25" applyNumberFormat="0" applyBorder="0" applyAlignment="0">
      <alignment vertical="center"/>
    </xf>
    <xf numFmtId="0" fontId="127" fillId="0" borderId="26" applyNumberFormat="0" applyAlignment="0">
      <alignment horizontal="center"/>
    </xf>
    <xf numFmtId="0" fontId="37" fillId="0" borderId="27">
      <alignment horizontal="center"/>
    </xf>
    <xf numFmtId="174" fontId="58" fillId="0" borderId="0" applyFont="0" applyFill="0" applyBorder="0" applyAlignment="0" applyProtection="0"/>
    <xf numFmtId="251" fontId="58" fillId="0" borderId="0" applyFont="0" applyFill="0" applyBorder="0" applyAlignment="0" applyProtection="0"/>
    <xf numFmtId="225" fontId="121" fillId="0" borderId="0" applyFont="0" applyFill="0" applyBorder="0" applyAlignment="0" applyProtection="0"/>
    <xf numFmtId="179" fontId="58" fillId="0" borderId="0" applyFont="0" applyFill="0" applyBorder="0" applyAlignment="0" applyProtection="0"/>
    <xf numFmtId="253" fontId="58" fillId="0" borderId="0" applyFont="0" applyFill="0" applyBorder="0" applyAlignment="0" applyProtection="0"/>
    <xf numFmtId="0" fontId="118" fillId="0" borderId="28">
      <alignment horizontal="center"/>
    </xf>
    <xf numFmtId="248" fontId="91" fillId="0" borderId="0"/>
    <xf numFmtId="254" fontId="91" fillId="0" borderId="1"/>
    <xf numFmtId="0" fontId="168" fillId="0" borderId="0"/>
    <xf numFmtId="3" fontId="91" fillId="0" borderId="0" applyNumberFormat="0" applyBorder="0" applyAlignment="0" applyProtection="0">
      <alignment horizontal="centerContinuous"/>
      <protection locked="0"/>
    </xf>
    <xf numFmtId="3" fontId="169" fillId="0" borderId="0">
      <protection locked="0"/>
    </xf>
    <xf numFmtId="0" fontId="168" fillId="0" borderId="0"/>
    <xf numFmtId="5" fontId="170" fillId="22" borderId="23">
      <alignment vertical="top"/>
    </xf>
    <xf numFmtId="0" fontId="172" fillId="23" borderId="1">
      <alignment horizontal="left" vertical="center"/>
    </xf>
    <xf numFmtId="6" fontId="173" fillId="24" borderId="23"/>
    <xf numFmtId="5" fontId="120" fillId="0" borderId="23">
      <alignment horizontal="left" vertical="top"/>
    </xf>
    <xf numFmtId="0" fontId="174" fillId="25" borderId="0">
      <alignment horizontal="left" vertical="center"/>
    </xf>
    <xf numFmtId="5" fontId="56" fillId="0" borderId="7">
      <alignment horizontal="left" vertical="top"/>
    </xf>
    <xf numFmtId="0" fontId="171" fillId="0" borderId="7">
      <alignment horizontal="left" vertical="center"/>
    </xf>
    <xf numFmtId="0" fontId="58" fillId="0" borderId="0" applyFont="0" applyFill="0" applyBorder="0" applyAlignment="0" applyProtection="0"/>
    <xf numFmtId="0" fontId="58" fillId="0" borderId="0" applyFont="0" applyFill="0" applyBorder="0" applyAlignment="0" applyProtection="0"/>
    <xf numFmtId="42" fontId="53" fillId="0" borderId="0" applyFont="0" applyFill="0" applyBorder="0" applyAlignment="0" applyProtection="0"/>
    <xf numFmtId="255" fontId="58" fillId="0" borderId="0" applyFont="0" applyFill="0" applyBorder="0" applyAlignment="0" applyProtection="0"/>
    <xf numFmtId="42" fontId="108" fillId="0" borderId="0" applyFont="0" applyFill="0" applyBorder="0" applyAlignment="0" applyProtection="0"/>
    <xf numFmtId="44" fontId="108" fillId="0" borderId="0" applyFont="0" applyFill="0" applyBorder="0" applyAlignment="0" applyProtection="0"/>
    <xf numFmtId="0" fontId="175" fillId="0" borderId="0" applyNumberFormat="0" applyFont="0" applyFill="0" applyBorder="0" applyProtection="0">
      <alignment horizontal="center" vertical="center" wrapText="1"/>
    </xf>
    <xf numFmtId="0" fontId="58" fillId="0" borderId="0" applyFont="0" applyFill="0" applyBorder="0" applyAlignment="0" applyProtection="0"/>
    <xf numFmtId="0" fontId="58" fillId="0" borderId="0" applyFont="0" applyFill="0" applyBorder="0" applyAlignment="0" applyProtection="0"/>
    <xf numFmtId="0" fontId="176" fillId="0" borderId="0" applyNumberFormat="0" applyFill="0" applyBorder="0" applyAlignment="0" applyProtection="0"/>
    <xf numFmtId="0" fontId="23" fillId="0" borderId="29" applyFont="0" applyBorder="0" applyAlignment="0">
      <alignment horizontal="center"/>
    </xf>
    <xf numFmtId="174" fontId="22" fillId="0" borderId="0" applyFont="0" applyFill="0" applyBorder="0" applyAlignment="0" applyProtection="0"/>
    <xf numFmtId="42" fontId="177" fillId="0" borderId="0" applyFont="0" applyFill="0" applyBorder="0" applyAlignment="0" applyProtection="0"/>
    <xf numFmtId="44" fontId="177" fillId="0" borderId="0" applyFont="0" applyFill="0" applyBorder="0" applyAlignment="0" applyProtection="0"/>
    <xf numFmtId="0" fontId="177" fillId="0" borderId="0"/>
    <xf numFmtId="0" fontId="178" fillId="0" borderId="0" applyFont="0" applyFill="0" applyBorder="0" applyAlignment="0" applyProtection="0"/>
    <xf numFmtId="0" fontId="178" fillId="0" borderId="0" applyFont="0" applyFill="0" applyBorder="0" applyAlignment="0" applyProtection="0"/>
    <xf numFmtId="0" fontId="14" fillId="0" borderId="0">
      <alignment vertical="center"/>
    </xf>
    <xf numFmtId="40" fontId="179" fillId="0" borderId="0" applyFont="0" applyFill="0" applyBorder="0" applyAlignment="0" applyProtection="0"/>
    <xf numFmtId="38" fontId="179" fillId="0" borderId="0" applyFont="0" applyFill="0" applyBorder="0" applyAlignment="0" applyProtection="0"/>
    <xf numFmtId="0" fontId="179" fillId="0" borderId="0" applyFont="0" applyFill="0" applyBorder="0" applyAlignment="0" applyProtection="0"/>
    <xf numFmtId="0" fontId="179" fillId="0" borderId="0" applyFont="0" applyFill="0" applyBorder="0" applyAlignment="0" applyProtection="0"/>
    <xf numFmtId="9" fontId="180" fillId="0" borderId="0" applyBorder="0" applyAlignment="0" applyProtection="0"/>
    <xf numFmtId="0" fontId="181" fillId="0" borderId="0"/>
    <xf numFmtId="0" fontId="182" fillId="0" borderId="3"/>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31" fillId="0" borderId="0" applyFont="0" applyFill="0" applyBorder="0" applyAlignment="0" applyProtection="0"/>
    <xf numFmtId="0" fontId="131" fillId="0" borderId="0" applyFont="0" applyFill="0" applyBorder="0" applyAlignment="0" applyProtection="0"/>
    <xf numFmtId="179" fontId="58" fillId="0" borderId="0" applyFont="0" applyFill="0" applyBorder="0" applyAlignment="0" applyProtection="0"/>
    <xf numFmtId="204" fontId="58" fillId="0" borderId="0" applyFont="0" applyFill="0" applyBorder="0" applyAlignment="0" applyProtection="0"/>
    <xf numFmtId="0" fontId="131" fillId="0" borderId="0"/>
    <xf numFmtId="0" fontId="183" fillId="0" borderId="0"/>
    <xf numFmtId="0" fontId="106" fillId="0" borderId="0"/>
    <xf numFmtId="174" fontId="47" fillId="0" borderId="0" applyFont="0" applyFill="0" applyBorder="0" applyAlignment="0" applyProtection="0"/>
    <xf numFmtId="175" fontId="47"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xf numFmtId="0" fontId="58" fillId="0" borderId="0"/>
    <xf numFmtId="179" fontId="47" fillId="0" borderId="0" applyFont="0" applyFill="0" applyBorder="0" applyAlignment="0" applyProtection="0"/>
    <xf numFmtId="247" fontId="62" fillId="0" borderId="0" applyFont="0" applyFill="0" applyBorder="0" applyAlignment="0" applyProtection="0"/>
    <xf numFmtId="204" fontId="47" fillId="0" borderId="0" applyFont="0" applyFill="0" applyBorder="0" applyAlignment="0" applyProtection="0"/>
    <xf numFmtId="44" fontId="58" fillId="0" borderId="0" applyFont="0" applyFill="0" applyBorder="0" applyAlignment="0" applyProtection="0"/>
    <xf numFmtId="42" fontId="58" fillId="0" borderId="0" applyFont="0" applyFill="0" applyBorder="0" applyAlignment="0" applyProtection="0"/>
    <xf numFmtId="0" fontId="56" fillId="0" borderId="0"/>
    <xf numFmtId="0" fontId="2" fillId="0" borderId="0"/>
    <xf numFmtId="0" fontId="1" fillId="0" borderId="0"/>
    <xf numFmtId="0" fontId="100" fillId="0" borderId="0"/>
  </cellStyleXfs>
  <cellXfs count="1118">
    <xf numFmtId="0" fontId="0" fillId="0" borderId="0" xfId="0"/>
    <xf numFmtId="0" fontId="4" fillId="0" borderId="0" xfId="0" applyFont="1" applyBorder="1" applyAlignment="1">
      <alignment horizontal="center"/>
    </xf>
    <xf numFmtId="0" fontId="6" fillId="0" borderId="11" xfId="0" applyFont="1" applyBorder="1"/>
    <xf numFmtId="3" fontId="5" fillId="0" borderId="30" xfId="0" applyNumberFormat="1" applyFont="1" applyBorder="1"/>
    <xf numFmtId="0" fontId="5" fillId="0" borderId="30" xfId="0" applyFont="1" applyBorder="1"/>
    <xf numFmtId="0" fontId="6" fillId="0" borderId="30" xfId="0" applyFont="1" applyBorder="1"/>
    <xf numFmtId="0" fontId="6" fillId="0" borderId="31" xfId="0" applyFont="1" applyBorder="1"/>
    <xf numFmtId="0" fontId="5" fillId="0" borderId="0" xfId="0" applyFont="1"/>
    <xf numFmtId="0" fontId="6" fillId="0" borderId="0" xfId="0" applyFont="1"/>
    <xf numFmtId="0" fontId="10" fillId="0" borderId="0" xfId="0" applyFont="1"/>
    <xf numFmtId="0" fontId="12" fillId="0" borderId="8" xfId="0" applyFont="1" applyBorder="1"/>
    <xf numFmtId="3" fontId="12" fillId="0" borderId="14" xfId="0" applyNumberFormat="1" applyFont="1" applyBorder="1"/>
    <xf numFmtId="3" fontId="11" fillId="0" borderId="14" xfId="0" applyNumberFormat="1" applyFont="1" applyBorder="1"/>
    <xf numFmtId="0" fontId="12" fillId="0" borderId="32" xfId="0" applyFont="1" applyBorder="1"/>
    <xf numFmtId="0" fontId="11" fillId="0" borderId="8" xfId="0" applyFont="1" applyBorder="1"/>
    <xf numFmtId="0" fontId="11" fillId="0" borderId="32" xfId="0" applyFont="1" applyBorder="1"/>
    <xf numFmtId="0" fontId="13" fillId="0" borderId="8" xfId="0" applyFont="1" applyBorder="1"/>
    <xf numFmtId="0" fontId="13" fillId="0" borderId="32" xfId="0" applyFont="1" applyBorder="1"/>
    <xf numFmtId="3" fontId="16" fillId="0" borderId="14" xfId="0" applyNumberFormat="1" applyFont="1" applyBorder="1"/>
    <xf numFmtId="3" fontId="29" fillId="0" borderId="14" xfId="0" applyNumberFormat="1" applyFont="1" applyBorder="1"/>
    <xf numFmtId="0" fontId="30" fillId="0" borderId="0" xfId="0" applyFont="1"/>
    <xf numFmtId="0" fontId="16" fillId="0" borderId="8" xfId="0" applyFont="1" applyBorder="1"/>
    <xf numFmtId="0" fontId="16" fillId="0" borderId="32" xfId="0" applyFont="1" applyBorder="1"/>
    <xf numFmtId="0" fontId="32" fillId="0" borderId="0" xfId="0" applyFont="1"/>
    <xf numFmtId="3" fontId="33" fillId="0" borderId="14" xfId="0" applyNumberFormat="1" applyFont="1" applyBorder="1"/>
    <xf numFmtId="0" fontId="33" fillId="0" borderId="8" xfId="0" applyFont="1" applyBorder="1"/>
    <xf numFmtId="0" fontId="33" fillId="0" borderId="32" xfId="0" applyFont="1" applyBorder="1"/>
    <xf numFmtId="0" fontId="34" fillId="0" borderId="0" xfId="0" applyFont="1"/>
    <xf numFmtId="3" fontId="35" fillId="0" borderId="14" xfId="0" applyNumberFormat="1" applyFont="1" applyBorder="1"/>
    <xf numFmtId="0" fontId="5" fillId="0" borderId="19" xfId="0" applyFont="1" applyBorder="1" applyAlignment="1"/>
    <xf numFmtId="0" fontId="31" fillId="26" borderId="19" xfId="712" applyNumberFormat="1" applyFont="1" applyFill="1" applyBorder="1"/>
    <xf numFmtId="0" fontId="5" fillId="0" borderId="33" xfId="0" applyFont="1" applyBorder="1"/>
    <xf numFmtId="0" fontId="36" fillId="0" borderId="0" xfId="0" applyFont="1"/>
    <xf numFmtId="0" fontId="28" fillId="0" borderId="1"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34"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34" xfId="0" applyFont="1" applyBorder="1" applyAlignment="1">
      <alignment horizontal="center"/>
    </xf>
    <xf numFmtId="0" fontId="38" fillId="0" borderId="0" xfId="0" applyFont="1"/>
    <xf numFmtId="0" fontId="19" fillId="0" borderId="0" xfId="0" applyFont="1" applyBorder="1" applyAlignment="1">
      <alignment horizontal="center"/>
    </xf>
    <xf numFmtId="0" fontId="39" fillId="0" borderId="11" xfId="0" applyFont="1" applyBorder="1"/>
    <xf numFmtId="0" fontId="27" fillId="0" borderId="35" xfId="0" applyFont="1" applyBorder="1" applyAlignment="1">
      <alignment horizontal="center" vertical="center" wrapText="1"/>
    </xf>
    <xf numFmtId="0" fontId="40" fillId="0" borderId="36" xfId="0" applyFont="1" applyBorder="1" applyAlignment="1">
      <alignment horizontal="center"/>
    </xf>
    <xf numFmtId="0" fontId="40" fillId="0" borderId="37" xfId="0" applyFont="1" applyBorder="1" applyAlignment="1"/>
    <xf numFmtId="0" fontId="41" fillId="0" borderId="37" xfId="0" applyFont="1" applyBorder="1" applyAlignment="1"/>
    <xf numFmtId="0" fontId="40" fillId="0" borderId="37" xfId="0" applyFont="1" applyBorder="1" applyAlignment="1">
      <alignment horizontal="center"/>
    </xf>
    <xf numFmtId="0" fontId="40" fillId="26" borderId="37" xfId="712" applyNumberFormat="1" applyFont="1" applyFill="1" applyBorder="1"/>
    <xf numFmtId="0" fontId="41" fillId="0" borderId="38" xfId="0" applyFont="1" applyBorder="1"/>
    <xf numFmtId="0" fontId="41" fillId="0" borderId="0" xfId="0" applyFont="1"/>
    <xf numFmtId="0" fontId="42" fillId="0" borderId="0" xfId="0" applyFont="1"/>
    <xf numFmtId="0" fontId="24" fillId="0" borderId="0" xfId="709" applyFont="1" applyAlignment="1">
      <alignment horizontal="center" vertical="center" wrapText="1"/>
    </xf>
    <xf numFmtId="0" fontId="25" fillId="0" borderId="0" xfId="709" applyFont="1" applyAlignment="1">
      <alignment wrapText="1"/>
    </xf>
    <xf numFmtId="0" fontId="24" fillId="0" borderId="0" xfId="709" applyFont="1" applyAlignment="1">
      <alignment wrapText="1"/>
    </xf>
    <xf numFmtId="0" fontId="24" fillId="0" borderId="0" xfId="709" applyFont="1" applyAlignment="1">
      <alignment horizontal="center" wrapText="1"/>
    </xf>
    <xf numFmtId="0" fontId="24" fillId="0" borderId="0" xfId="709" applyFont="1" applyAlignment="1">
      <alignment horizontal="left" vertical="center" wrapText="1"/>
    </xf>
    <xf numFmtId="0" fontId="14" fillId="0" borderId="0" xfId="709" applyFont="1" applyAlignment="1">
      <alignment horizontal="center" wrapText="1"/>
    </xf>
    <xf numFmtId="0" fontId="14" fillId="0" borderId="0" xfId="709" applyFont="1" applyAlignment="1">
      <alignment wrapText="1"/>
    </xf>
    <xf numFmtId="0" fontId="14" fillId="0" borderId="0" xfId="709" applyFont="1" applyAlignment="1">
      <alignment horizontal="left" vertical="center" wrapText="1"/>
    </xf>
    <xf numFmtId="0" fontId="14" fillId="0" borderId="0" xfId="709" applyFont="1" applyAlignment="1">
      <alignment horizontal="center" vertical="center" wrapText="1"/>
    </xf>
    <xf numFmtId="0" fontId="25" fillId="0" borderId="0" xfId="709" applyFont="1" applyAlignment="1">
      <alignment horizontal="center" wrapText="1"/>
    </xf>
    <xf numFmtId="0" fontId="25" fillId="0" borderId="0" xfId="709" applyFont="1" applyAlignment="1">
      <alignment horizontal="left" vertical="center" wrapText="1"/>
    </xf>
    <xf numFmtId="0" fontId="41" fillId="0" borderId="14" xfId="0" applyFont="1" applyBorder="1"/>
    <xf numFmtId="0" fontId="31" fillId="0" borderId="0" xfId="709" applyFont="1" applyAlignment="1">
      <alignment horizontal="center" vertical="center" wrapText="1"/>
    </xf>
    <xf numFmtId="0" fontId="15" fillId="0" borderId="0" xfId="709" applyFont="1" applyAlignment="1">
      <alignment wrapText="1"/>
    </xf>
    <xf numFmtId="168" fontId="184" fillId="0" borderId="0" xfId="710" applyNumberFormat="1" applyFont="1"/>
    <xf numFmtId="0" fontId="184" fillId="0" borderId="0" xfId="710" applyFont="1"/>
    <xf numFmtId="168" fontId="185" fillId="0" borderId="0" xfId="710" applyNumberFormat="1" applyFont="1"/>
    <xf numFmtId="0" fontId="185" fillId="0" borderId="0" xfId="710" applyFont="1"/>
    <xf numFmtId="168" fontId="50" fillId="0" borderId="0" xfId="710" applyNumberFormat="1"/>
    <xf numFmtId="168" fontId="186" fillId="0" borderId="0" xfId="710" applyNumberFormat="1" applyFont="1"/>
    <xf numFmtId="0" fontId="50" fillId="0" borderId="0" xfId="710"/>
    <xf numFmtId="168" fontId="187" fillId="0" borderId="0" xfId="710" applyNumberFormat="1" applyFont="1"/>
    <xf numFmtId="0" fontId="187" fillId="0" borderId="0" xfId="710" applyFont="1"/>
    <xf numFmtId="168" fontId="26" fillId="0" borderId="11" xfId="710" applyNumberFormat="1" applyFont="1" applyBorder="1" applyAlignment="1"/>
    <xf numFmtId="168" fontId="19" fillId="0" borderId="39" xfId="710" applyNumberFormat="1" applyFont="1" applyBorder="1" applyAlignment="1">
      <alignment horizontal="centerContinuous" vertical="center"/>
    </xf>
    <xf numFmtId="0" fontId="188" fillId="0" borderId="39" xfId="710" applyNumberFormat="1" applyFont="1" applyBorder="1" applyAlignment="1">
      <alignment horizontal="centerContinuous" vertical="center"/>
    </xf>
    <xf numFmtId="0" fontId="172" fillId="0" borderId="0" xfId="710" applyNumberFormat="1" applyFont="1" applyAlignment="1">
      <alignment horizontal="center" vertical="center"/>
    </xf>
    <xf numFmtId="168" fontId="189" fillId="0" borderId="35" xfId="710" applyNumberFormat="1" applyFont="1" applyBorder="1" applyAlignment="1">
      <alignment horizontal="center" vertical="center"/>
    </xf>
    <xf numFmtId="168" fontId="189" fillId="0" borderId="1" xfId="710" applyNumberFormat="1" applyFont="1" applyBorder="1" applyAlignment="1">
      <alignment horizontal="center" vertical="center"/>
    </xf>
    <xf numFmtId="168" fontId="189" fillId="0" borderId="34" xfId="710" applyNumberFormat="1" applyFont="1" applyBorder="1" applyAlignment="1">
      <alignment horizontal="center" vertical="center"/>
    </xf>
    <xf numFmtId="168" fontId="189" fillId="0" borderId="0" xfId="710" applyNumberFormat="1" applyFont="1"/>
    <xf numFmtId="0" fontId="189" fillId="0" borderId="0" xfId="710" applyFont="1"/>
    <xf numFmtId="168" fontId="190" fillId="0" borderId="36" xfId="713" applyNumberFormat="1" applyFont="1" applyBorder="1" applyAlignment="1">
      <alignment horizontal="center"/>
    </xf>
    <xf numFmtId="168" fontId="191" fillId="0" borderId="8" xfId="713" applyNumberFormat="1" applyFont="1" applyBorder="1" applyAlignment="1">
      <alignment horizontal="center" wrapText="1"/>
    </xf>
    <xf numFmtId="168" fontId="192" fillId="0" borderId="8" xfId="710" applyNumberFormat="1" applyFont="1" applyBorder="1" applyAlignment="1">
      <alignment horizontal="center"/>
    </xf>
    <xf numFmtId="168" fontId="192" fillId="0" borderId="8" xfId="710" applyNumberFormat="1" applyFont="1" applyBorder="1"/>
    <xf numFmtId="168" fontId="49" fillId="0" borderId="32" xfId="710" applyNumberFormat="1" applyFont="1" applyBorder="1"/>
    <xf numFmtId="168" fontId="191" fillId="0" borderId="37" xfId="713" applyNumberFormat="1" applyFont="1" applyBorder="1" applyAlignment="1">
      <alignment horizontal="center" vertical="center" wrapText="1"/>
    </xf>
    <xf numFmtId="168" fontId="191" fillId="0" borderId="14" xfId="713" applyNumberFormat="1" applyFont="1" applyBorder="1" applyAlignment="1">
      <alignment horizontal="left" wrapText="1"/>
    </xf>
    <xf numFmtId="168" fontId="14" fillId="0" borderId="14" xfId="710" applyNumberFormat="1" applyFont="1" applyBorder="1" applyAlignment="1">
      <alignment horizontal="center"/>
    </xf>
    <xf numFmtId="168" fontId="49" fillId="0" borderId="14" xfId="710" applyNumberFormat="1" applyFont="1" applyBorder="1"/>
    <xf numFmtId="168" fontId="192" fillId="0" borderId="14" xfId="710" applyNumberFormat="1" applyFont="1" applyBorder="1"/>
    <xf numFmtId="168" fontId="49" fillId="0" borderId="40" xfId="710" applyNumberFormat="1" applyFont="1" applyBorder="1"/>
    <xf numFmtId="168" fontId="14" fillId="0" borderId="0" xfId="710" applyNumberFormat="1" applyFont="1"/>
    <xf numFmtId="168" fontId="49" fillId="0" borderId="0" xfId="710" applyNumberFormat="1" applyFont="1"/>
    <xf numFmtId="0" fontId="49" fillId="0" borderId="0" xfId="710" applyFont="1"/>
    <xf numFmtId="168" fontId="193" fillId="0" borderId="14" xfId="710" applyNumberFormat="1" applyFont="1" applyBorder="1"/>
    <xf numFmtId="168" fontId="193" fillId="0" borderId="40" xfId="710" applyNumberFormat="1" applyFont="1" applyBorder="1"/>
    <xf numFmtId="168" fontId="193" fillId="0" borderId="0" xfId="710" applyNumberFormat="1" applyFont="1"/>
    <xf numFmtId="0" fontId="193" fillId="0" borderId="0" xfId="710" applyFont="1"/>
    <xf numFmtId="168" fontId="194" fillId="0" borderId="37" xfId="713" applyNumberFormat="1" applyFont="1" applyBorder="1" applyAlignment="1">
      <alignment horizontal="center" vertical="center" wrapText="1"/>
    </xf>
    <xf numFmtId="168" fontId="194" fillId="0" borderId="14" xfId="713" applyNumberFormat="1" applyFont="1" applyBorder="1" applyAlignment="1">
      <alignment horizontal="left" wrapText="1"/>
    </xf>
    <xf numFmtId="168" fontId="195" fillId="0" borderId="14" xfId="710" applyNumberFormat="1" applyFont="1" applyBorder="1"/>
    <xf numFmtId="168" fontId="195" fillId="0" borderId="40" xfId="710" applyNumberFormat="1" applyFont="1" applyBorder="1"/>
    <xf numFmtId="168" fontId="195" fillId="0" borderId="0" xfId="710" applyNumberFormat="1" applyFont="1"/>
    <xf numFmtId="0" fontId="195" fillId="0" borderId="0" xfId="710" applyFont="1"/>
    <xf numFmtId="168" fontId="196" fillId="0" borderId="37" xfId="713" applyNumberFormat="1" applyFont="1" applyBorder="1" applyAlignment="1">
      <alignment horizontal="center" vertical="center" wrapText="1"/>
    </xf>
    <xf numFmtId="168" fontId="196" fillId="0" borderId="14" xfId="713" applyNumberFormat="1" applyFont="1" applyBorder="1" applyAlignment="1">
      <alignment horizontal="left" wrapText="1"/>
    </xf>
    <xf numFmtId="168" fontId="50" fillId="0" borderId="14" xfId="710" applyNumberFormat="1" applyBorder="1"/>
    <xf numFmtId="168" fontId="50" fillId="0" borderId="40" xfId="710" applyNumberFormat="1" applyBorder="1"/>
    <xf numFmtId="168" fontId="15" fillId="0" borderId="14" xfId="713" applyNumberFormat="1" applyFont="1" applyBorder="1" applyAlignment="1">
      <alignment horizontal="left" wrapText="1"/>
    </xf>
    <xf numFmtId="168" fontId="50" fillId="0" borderId="14" xfId="710" applyNumberFormat="1" applyFont="1" applyBorder="1"/>
    <xf numFmtId="168" fontId="14" fillId="0" borderId="14" xfId="713" quotePrefix="1" applyNumberFormat="1" applyFont="1" applyBorder="1" applyAlignment="1">
      <alignment horizontal="left" wrapText="1"/>
    </xf>
    <xf numFmtId="168" fontId="50" fillId="0" borderId="14" xfId="710" applyNumberFormat="1" applyFont="1" applyBorder="1" applyAlignment="1">
      <alignment horizontal="right"/>
    </xf>
    <xf numFmtId="256" fontId="50" fillId="0" borderId="14" xfId="710" applyNumberFormat="1" applyFont="1" applyBorder="1" applyAlignment="1">
      <alignment horizontal="right"/>
    </xf>
    <xf numFmtId="0" fontId="50" fillId="0" borderId="40" xfId="710" applyFont="1" applyBorder="1"/>
    <xf numFmtId="0" fontId="50" fillId="0" borderId="0" xfId="710" applyFont="1"/>
    <xf numFmtId="257" fontId="50" fillId="0" borderId="14" xfId="734" applyNumberFormat="1" applyFont="1" applyBorder="1" applyAlignment="1">
      <alignment horizontal="right"/>
    </xf>
    <xf numFmtId="3" fontId="50" fillId="0" borderId="14" xfId="710" applyNumberFormat="1" applyFont="1" applyBorder="1"/>
    <xf numFmtId="168" fontId="14" fillId="0" borderId="14" xfId="713" applyNumberFormat="1" applyFont="1" applyBorder="1" applyAlignment="1">
      <alignment horizontal="left" wrapText="1"/>
    </xf>
    <xf numFmtId="168" fontId="194" fillId="0" borderId="14" xfId="713" applyNumberFormat="1" applyFont="1" applyBorder="1" applyAlignment="1">
      <alignment horizontal="left" vertical="center" wrapText="1"/>
    </xf>
    <xf numFmtId="3" fontId="50" fillId="0" borderId="14" xfId="710" applyNumberFormat="1" applyBorder="1"/>
    <xf numFmtId="168" fontId="50" fillId="0" borderId="0" xfId="710" applyNumberFormat="1" applyFont="1"/>
    <xf numFmtId="168" fontId="15" fillId="0" borderId="14" xfId="710" applyNumberFormat="1" applyFont="1" applyBorder="1" applyAlignment="1">
      <alignment horizontal="center"/>
    </xf>
    <xf numFmtId="9" fontId="50" fillId="0" borderId="14" xfId="734" quotePrefix="1" applyFont="1" applyBorder="1" applyAlignment="1">
      <alignment horizontal="right"/>
    </xf>
    <xf numFmtId="168" fontId="44" fillId="0" borderId="14" xfId="713" applyNumberFormat="1" applyFont="1" applyBorder="1" applyAlignment="1">
      <alignment horizontal="left" wrapText="1"/>
    </xf>
    <xf numFmtId="168" fontId="15" fillId="0" borderId="37" xfId="713" applyNumberFormat="1" applyFont="1" applyBorder="1" applyAlignment="1">
      <alignment horizontal="center" vertical="center" wrapText="1"/>
    </xf>
    <xf numFmtId="168" fontId="196" fillId="0" borderId="14" xfId="713" quotePrefix="1" applyNumberFormat="1" applyFont="1" applyBorder="1" applyAlignment="1">
      <alignment horizontal="left" wrapText="1"/>
    </xf>
    <xf numFmtId="168" fontId="50" fillId="0" borderId="14" xfId="710" applyNumberFormat="1" applyBorder="1" applyAlignment="1">
      <alignment horizontal="right"/>
    </xf>
    <xf numFmtId="168" fontId="50" fillId="0" borderId="19" xfId="710" applyNumberFormat="1" applyBorder="1"/>
    <xf numFmtId="256" fontId="50" fillId="0" borderId="14" xfId="710" applyNumberFormat="1" applyBorder="1" applyAlignment="1">
      <alignment horizontal="right"/>
    </xf>
    <xf numFmtId="257" fontId="50" fillId="0" borderId="14" xfId="734" applyNumberFormat="1" applyBorder="1" applyAlignment="1">
      <alignment horizontal="right"/>
    </xf>
    <xf numFmtId="9" fontId="50" fillId="0" borderId="14" xfId="734" applyBorder="1"/>
    <xf numFmtId="168" fontId="195" fillId="0" borderId="14" xfId="710" applyNumberFormat="1" applyFont="1" applyFill="1" applyBorder="1"/>
    <xf numFmtId="168" fontId="194" fillId="0" borderId="14" xfId="713" applyNumberFormat="1" applyFont="1" applyFill="1" applyBorder="1" applyAlignment="1">
      <alignment horizontal="left" wrapText="1"/>
    </xf>
    <xf numFmtId="168" fontId="191" fillId="0" borderId="14" xfId="713" applyNumberFormat="1" applyFont="1" applyBorder="1" applyAlignment="1">
      <alignment horizontal="left" vertical="center" wrapText="1"/>
    </xf>
    <xf numFmtId="168" fontId="197" fillId="0" borderId="14" xfId="710" applyNumberFormat="1" applyFont="1" applyBorder="1" applyAlignment="1">
      <alignment horizontal="center"/>
    </xf>
    <xf numFmtId="3" fontId="49" fillId="0" borderId="14" xfId="734" applyNumberFormat="1" applyFont="1" applyBorder="1"/>
    <xf numFmtId="167" fontId="14" fillId="0" borderId="14" xfId="710" applyNumberFormat="1" applyFont="1" applyBorder="1" applyAlignment="1">
      <alignment horizontal="center"/>
    </xf>
    <xf numFmtId="168" fontId="44" fillId="0" borderId="14" xfId="710" applyNumberFormat="1" applyFont="1" applyBorder="1" applyAlignment="1">
      <alignment horizontal="center"/>
    </xf>
    <xf numFmtId="168" fontId="15" fillId="0" borderId="14" xfId="713" applyNumberFormat="1" applyFont="1" applyBorder="1" applyAlignment="1">
      <alignment horizontal="left" vertical="center" wrapText="1"/>
    </xf>
    <xf numFmtId="258" fontId="50" fillId="0" borderId="14" xfId="710" applyNumberFormat="1" applyBorder="1"/>
    <xf numFmtId="167" fontId="50" fillId="0" borderId="14" xfId="710" applyNumberFormat="1" applyFont="1" applyBorder="1" applyAlignment="1">
      <alignment horizontal="center"/>
    </xf>
    <xf numFmtId="49" fontId="14" fillId="0" borderId="14" xfId="711" applyNumberFormat="1" applyFont="1" applyBorder="1"/>
    <xf numFmtId="168" fontId="50" fillId="0" borderId="14" xfId="710" applyNumberFormat="1" applyBorder="1" applyAlignment="1">
      <alignment vertical="center"/>
    </xf>
    <xf numFmtId="49" fontId="14" fillId="0" borderId="14" xfId="711" applyNumberFormat="1" applyFont="1" applyBorder="1" applyAlignment="1">
      <alignment horizontal="left" vertical="center" wrapText="1"/>
    </xf>
    <xf numFmtId="49" fontId="15" fillId="0" borderId="14" xfId="711" applyNumberFormat="1" applyFont="1" applyBorder="1"/>
    <xf numFmtId="167" fontId="50" fillId="0" borderId="14" xfId="710" applyNumberFormat="1" applyBorder="1"/>
    <xf numFmtId="168" fontId="50" fillId="0" borderId="14" xfId="710" applyNumberFormat="1" applyFont="1" applyBorder="1" applyAlignment="1">
      <alignment horizontal="center"/>
    </xf>
    <xf numFmtId="168" fontId="198" fillId="0" borderId="37" xfId="713" applyNumberFormat="1" applyFont="1" applyBorder="1" applyAlignment="1">
      <alignment horizontal="center" vertical="center" wrapText="1"/>
    </xf>
    <xf numFmtId="259" fontId="193" fillId="0" borderId="14" xfId="710" applyNumberFormat="1" applyFont="1" applyBorder="1"/>
    <xf numFmtId="168" fontId="199" fillId="0" borderId="37" xfId="713" applyNumberFormat="1" applyFont="1" applyBorder="1" applyAlignment="1">
      <alignment horizontal="center" vertical="center" wrapText="1"/>
    </xf>
    <xf numFmtId="168" fontId="199" fillId="0" borderId="14" xfId="713" applyNumberFormat="1" applyFont="1" applyBorder="1" applyAlignment="1">
      <alignment horizontal="left" wrapText="1"/>
    </xf>
    <xf numFmtId="168" fontId="200" fillId="0" borderId="14" xfId="710" applyNumberFormat="1" applyFont="1" applyBorder="1"/>
    <xf numFmtId="259" fontId="200" fillId="0" borderId="14" xfId="710" applyNumberFormat="1" applyFont="1" applyBorder="1"/>
    <xf numFmtId="168" fontId="200" fillId="0" borderId="40" xfId="710" applyNumberFormat="1" applyFont="1" applyBorder="1"/>
    <xf numFmtId="168" fontId="200" fillId="0" borderId="0" xfId="710" applyNumberFormat="1" applyFont="1"/>
    <xf numFmtId="0" fontId="200" fillId="0" borderId="0" xfId="710" applyFont="1"/>
    <xf numFmtId="259" fontId="50" fillId="0" borderId="14" xfId="710" applyNumberFormat="1" applyBorder="1"/>
    <xf numFmtId="168" fontId="50" fillId="0" borderId="38" xfId="710" applyNumberFormat="1" applyBorder="1"/>
    <xf numFmtId="168" fontId="201" fillId="10" borderId="30" xfId="713" applyNumberFormat="1" applyFont="1" applyFill="1" applyBorder="1" applyAlignment="1">
      <alignment horizontal="left" wrapText="1"/>
    </xf>
    <xf numFmtId="168" fontId="50" fillId="0" borderId="30" xfId="710" applyNumberFormat="1" applyFont="1" applyBorder="1"/>
    <xf numFmtId="168" fontId="49" fillId="0" borderId="30" xfId="710" applyNumberFormat="1" applyFont="1" applyBorder="1"/>
    <xf numFmtId="168" fontId="50" fillId="0" borderId="30" xfId="710" applyNumberFormat="1" applyBorder="1"/>
    <xf numFmtId="168" fontId="192" fillId="0" borderId="30" xfId="710" applyNumberFormat="1" applyFont="1" applyBorder="1"/>
    <xf numFmtId="168" fontId="49" fillId="0" borderId="31" xfId="710" applyNumberFormat="1" applyFont="1" applyBorder="1"/>
    <xf numFmtId="168" fontId="50" fillId="0" borderId="36" xfId="710" applyNumberFormat="1" applyFont="1" applyBorder="1"/>
    <xf numFmtId="168" fontId="191" fillId="3" borderId="8" xfId="713" applyNumberFormat="1" applyFont="1" applyFill="1" applyBorder="1" applyAlignment="1">
      <alignment horizontal="left" wrapText="1"/>
    </xf>
    <xf numFmtId="168" fontId="50" fillId="0" borderId="8" xfId="710" applyNumberFormat="1" applyFont="1" applyBorder="1"/>
    <xf numFmtId="168" fontId="195" fillId="0" borderId="8" xfId="710" applyNumberFormat="1" applyFont="1" applyBorder="1"/>
    <xf numFmtId="168" fontId="50" fillId="0" borderId="32" xfId="710" applyNumberFormat="1" applyBorder="1"/>
    <xf numFmtId="168" fontId="202" fillId="0" borderId="37" xfId="713" applyNumberFormat="1" applyFont="1" applyBorder="1" applyAlignment="1">
      <alignment horizontal="center"/>
    </xf>
    <xf numFmtId="168" fontId="194" fillId="0" borderId="14" xfId="713" applyNumberFormat="1" applyFont="1" applyBorder="1" applyAlignment="1">
      <alignment horizontal="left" indent="1"/>
    </xf>
    <xf numFmtId="168" fontId="203" fillId="0" borderId="37" xfId="713" applyNumberFormat="1" applyFont="1" applyBorder="1" applyAlignment="1">
      <alignment horizontal="center"/>
    </xf>
    <xf numFmtId="9" fontId="50" fillId="3" borderId="14" xfId="710" applyNumberFormat="1" applyFill="1" applyBorder="1"/>
    <xf numFmtId="256" fontId="50" fillId="0" borderId="14" xfId="710" applyNumberFormat="1" applyBorder="1"/>
    <xf numFmtId="168" fontId="203" fillId="0" borderId="38" xfId="713" applyNumberFormat="1" applyFont="1" applyBorder="1" applyAlignment="1">
      <alignment horizontal="center"/>
    </xf>
    <xf numFmtId="168" fontId="203" fillId="0" borderId="30" xfId="713" applyNumberFormat="1" applyFont="1" applyBorder="1" applyAlignment="1">
      <alignment horizontal="left" indent="1"/>
    </xf>
    <xf numFmtId="168" fontId="50" fillId="0" borderId="31" xfId="710" applyNumberFormat="1" applyBorder="1"/>
    <xf numFmtId="168" fontId="14" fillId="0" borderId="0" xfId="710" applyNumberFormat="1" applyFont="1" applyAlignment="1">
      <alignment horizontal="right"/>
    </xf>
    <xf numFmtId="168" fontId="50" fillId="0" borderId="0" xfId="710" applyNumberFormat="1" applyFont="1" applyFill="1" applyBorder="1"/>
    <xf numFmtId="168" fontId="15" fillId="0" borderId="1" xfId="710" applyNumberFormat="1" applyFont="1" applyBorder="1" applyAlignment="1">
      <alignment vertical="center" wrapText="1"/>
    </xf>
    <xf numFmtId="168" fontId="15" fillId="0" borderId="1" xfId="710" applyNumberFormat="1" applyFont="1" applyBorder="1" applyAlignment="1">
      <alignment horizontal="center" vertical="center" wrapText="1"/>
    </xf>
    <xf numFmtId="168" fontId="15" fillId="0" borderId="1" xfId="710" applyNumberFormat="1" applyFont="1" applyBorder="1" applyAlignment="1">
      <alignment vertical="center"/>
    </xf>
    <xf numFmtId="168" fontId="15" fillId="0" borderId="1" xfId="710" applyNumberFormat="1" applyFont="1" applyBorder="1" applyAlignment="1">
      <alignment horizontal="center" vertical="center"/>
    </xf>
    <xf numFmtId="168" fontId="194" fillId="0" borderId="37" xfId="713" applyNumberFormat="1" applyFont="1" applyFill="1" applyBorder="1" applyAlignment="1">
      <alignment horizontal="center" vertical="center" wrapText="1"/>
    </xf>
    <xf numFmtId="168" fontId="14" fillId="0" borderId="14" xfId="713" applyNumberFormat="1" applyFont="1" applyFill="1" applyBorder="1" applyAlignment="1">
      <alignment horizontal="left" wrapText="1"/>
    </xf>
    <xf numFmtId="168" fontId="14" fillId="0" borderId="14" xfId="710" applyNumberFormat="1" applyFont="1" applyFill="1" applyBorder="1" applyAlignment="1">
      <alignment horizontal="center"/>
    </xf>
    <xf numFmtId="168" fontId="50" fillId="0" borderId="14" xfId="710" applyNumberFormat="1" applyFont="1" applyFill="1" applyBorder="1"/>
    <xf numFmtId="3" fontId="50" fillId="0" borderId="14" xfId="710" applyNumberFormat="1" applyFont="1" applyFill="1" applyBorder="1"/>
    <xf numFmtId="168" fontId="50" fillId="0" borderId="14" xfId="710" applyNumberFormat="1" applyFill="1" applyBorder="1"/>
    <xf numFmtId="168" fontId="195" fillId="0" borderId="40" xfId="710" applyNumberFormat="1" applyFont="1" applyFill="1" applyBorder="1"/>
    <xf numFmtId="168" fontId="195" fillId="0" borderId="0" xfId="710" applyNumberFormat="1" applyFont="1" applyFill="1"/>
    <xf numFmtId="0" fontId="195" fillId="0" borderId="0" xfId="710" applyFont="1" applyFill="1"/>
    <xf numFmtId="0" fontId="25" fillId="0" borderId="14" xfId="709" quotePrefix="1" applyFont="1" applyBorder="1" applyAlignment="1">
      <alignment horizontal="left" wrapText="1"/>
    </xf>
    <xf numFmtId="0" fontId="24" fillId="3" borderId="0" xfId="709" applyFont="1" applyFill="1" applyAlignment="1">
      <alignment wrapText="1"/>
    </xf>
    <xf numFmtId="0" fontId="24" fillId="27" borderId="0" xfId="709" applyFont="1" applyFill="1" applyAlignment="1">
      <alignment wrapText="1"/>
    </xf>
    <xf numFmtId="0" fontId="25" fillId="0" borderId="14" xfId="709" applyFont="1" applyBorder="1" applyAlignment="1">
      <alignment horizontal="left" wrapText="1"/>
    </xf>
    <xf numFmtId="3" fontId="25" fillId="3" borderId="14" xfId="709" applyNumberFormat="1" applyFont="1" applyFill="1" applyBorder="1" applyAlignment="1">
      <alignment horizontal="right" wrapText="1"/>
    </xf>
    <xf numFmtId="3" fontId="25" fillId="0" borderId="14" xfId="709" applyNumberFormat="1" applyFont="1" applyBorder="1" applyAlignment="1">
      <alignment horizontal="right" wrapText="1"/>
    </xf>
    <xf numFmtId="3" fontId="25" fillId="0" borderId="14" xfId="709" applyNumberFormat="1" applyFont="1" applyBorder="1" applyAlignment="1">
      <alignment wrapText="1"/>
    </xf>
    <xf numFmtId="3" fontId="25" fillId="3" borderId="14" xfId="709" applyNumberFormat="1" applyFont="1" applyFill="1" applyBorder="1" applyAlignment="1">
      <alignment wrapText="1"/>
    </xf>
    <xf numFmtId="3" fontId="31" fillId="0" borderId="14" xfId="709" applyNumberFormat="1" applyFont="1" applyBorder="1" applyAlignment="1">
      <alignment horizontal="center" vertical="center" wrapText="1"/>
    </xf>
    <xf numFmtId="0" fontId="31" fillId="3" borderId="14" xfId="709" applyFont="1" applyFill="1" applyBorder="1" applyAlignment="1">
      <alignment horizontal="center" vertical="center" wrapText="1"/>
    </xf>
    <xf numFmtId="0" fontId="25" fillId="3" borderId="14" xfId="709" applyFont="1" applyFill="1" applyBorder="1" applyAlignment="1">
      <alignment wrapText="1"/>
    </xf>
    <xf numFmtId="3" fontId="25" fillId="0" borderId="8" xfId="709" applyNumberFormat="1" applyFont="1" applyBorder="1" applyAlignment="1">
      <alignment horizontal="right" wrapText="1"/>
    </xf>
    <xf numFmtId="0" fontId="0" fillId="10" borderId="0" xfId="0" applyFill="1"/>
    <xf numFmtId="3" fontId="24" fillId="0" borderId="19" xfId="0" applyNumberFormat="1" applyFont="1" applyBorder="1" applyAlignment="1"/>
    <xf numFmtId="3" fontId="25" fillId="0" borderId="14" xfId="0" applyNumberFormat="1" applyFont="1" applyBorder="1"/>
    <xf numFmtId="3" fontId="31" fillId="0" borderId="14" xfId="0" applyNumberFormat="1" applyFont="1" applyBorder="1"/>
    <xf numFmtId="3" fontId="24" fillId="0" borderId="14" xfId="0" applyNumberFormat="1" applyFont="1" applyBorder="1"/>
    <xf numFmtId="49" fontId="15" fillId="0" borderId="14" xfId="711" applyNumberFormat="1" applyFont="1" applyBorder="1" applyAlignment="1">
      <alignment wrapText="1"/>
    </xf>
    <xf numFmtId="0" fontId="24" fillId="0" borderId="14" xfId="0" applyFont="1" applyBorder="1" applyAlignment="1">
      <alignment vertical="center" wrapText="1"/>
    </xf>
    <xf numFmtId="0" fontId="8" fillId="0" borderId="41" xfId="0" applyFont="1" applyBorder="1" applyAlignment="1"/>
    <xf numFmtId="0" fontId="208" fillId="0" borderId="0" xfId="0" applyFont="1"/>
    <xf numFmtId="0" fontId="14" fillId="0" borderId="0" xfId="670" applyFont="1"/>
    <xf numFmtId="0" fontId="24" fillId="0" borderId="0" xfId="670" applyFont="1"/>
    <xf numFmtId="0" fontId="24" fillId="0" borderId="0" xfId="670" applyFont="1" applyBorder="1"/>
    <xf numFmtId="0" fontId="24" fillId="0" borderId="42" xfId="670" applyFont="1" applyBorder="1"/>
    <xf numFmtId="0" fontId="24" fillId="0" borderId="43" xfId="670" applyFont="1" applyBorder="1"/>
    <xf numFmtId="0" fontId="24" fillId="0" borderId="44" xfId="670" applyFont="1" applyBorder="1"/>
    <xf numFmtId="0" fontId="24" fillId="0" borderId="45" xfId="670" applyFont="1" applyBorder="1"/>
    <xf numFmtId="3" fontId="24" fillId="0" borderId="7" xfId="670" applyNumberFormat="1" applyFont="1" applyBorder="1"/>
    <xf numFmtId="0" fontId="24" fillId="0" borderId="46" xfId="670" applyFont="1" applyBorder="1"/>
    <xf numFmtId="0" fontId="24" fillId="0" borderId="47" xfId="670" applyFont="1" applyBorder="1" applyAlignment="1">
      <alignment horizontal="center"/>
    </xf>
    <xf numFmtId="0" fontId="24" fillId="0" borderId="46" xfId="670" applyFont="1" applyBorder="1" applyAlignment="1">
      <alignment vertical="center" wrapText="1"/>
    </xf>
    <xf numFmtId="0" fontId="25" fillId="0" borderId="46" xfId="670" applyFont="1" applyBorder="1"/>
    <xf numFmtId="0" fontId="25" fillId="0" borderId="47" xfId="670" applyFont="1" applyBorder="1" applyAlignment="1">
      <alignment horizontal="center"/>
    </xf>
    <xf numFmtId="3" fontId="31" fillId="0" borderId="7" xfId="670" applyNumberFormat="1" applyFont="1" applyBorder="1"/>
    <xf numFmtId="0" fontId="209" fillId="0" borderId="46" xfId="670" applyFont="1" applyBorder="1" applyAlignment="1">
      <alignment vertical="center" wrapText="1"/>
    </xf>
    <xf numFmtId="0" fontId="25" fillId="0" borderId="47" xfId="670" quotePrefix="1" applyFont="1" applyBorder="1" applyAlignment="1">
      <alignment horizontal="center"/>
    </xf>
    <xf numFmtId="0" fontId="31" fillId="0" borderId="47" xfId="670" applyFont="1" applyBorder="1"/>
    <xf numFmtId="3" fontId="207" fillId="0" borderId="7" xfId="670" applyNumberFormat="1" applyFont="1" applyBorder="1"/>
    <xf numFmtId="3" fontId="14" fillId="0" borderId="7" xfId="670" applyNumberFormat="1" applyFont="1" applyBorder="1"/>
    <xf numFmtId="0" fontId="15" fillId="0" borderId="46" xfId="670" applyFont="1" applyBorder="1"/>
    <xf numFmtId="0" fontId="15" fillId="0" borderId="47" xfId="670" applyFont="1" applyBorder="1" applyAlignment="1">
      <alignment horizontal="center"/>
    </xf>
    <xf numFmtId="0" fontId="15" fillId="0" borderId="0" xfId="670" applyFont="1" applyAlignment="1">
      <alignment vertical="center"/>
    </xf>
    <xf numFmtId="0" fontId="15" fillId="0" borderId="7" xfId="670" quotePrefix="1" applyFont="1" applyBorder="1" applyAlignment="1">
      <alignment horizontal="center" vertical="center"/>
    </xf>
    <xf numFmtId="0" fontId="15" fillId="0" borderId="7" xfId="670" applyFont="1" applyBorder="1" applyAlignment="1">
      <alignment horizontal="center" vertical="center"/>
    </xf>
    <xf numFmtId="0" fontId="15" fillId="0" borderId="46" xfId="670" applyFont="1" applyBorder="1" applyAlignment="1">
      <alignment horizontal="left" vertical="center"/>
    </xf>
    <xf numFmtId="0" fontId="15" fillId="0" borderId="47" xfId="670" applyFont="1" applyBorder="1" applyAlignment="1">
      <alignment horizontal="center" vertical="center"/>
    </xf>
    <xf numFmtId="0" fontId="48" fillId="0" borderId="0" xfId="670" applyFont="1" applyAlignment="1">
      <alignment vertical="center"/>
    </xf>
    <xf numFmtId="0" fontId="48" fillId="0" borderId="1" xfId="670" quotePrefix="1" applyFont="1" applyBorder="1" applyAlignment="1">
      <alignment horizontal="center" vertical="center"/>
    </xf>
    <xf numFmtId="0" fontId="48" fillId="0" borderId="1" xfId="670" applyFont="1" applyBorder="1" applyAlignment="1">
      <alignment horizontal="center" vertical="center"/>
    </xf>
    <xf numFmtId="0" fontId="48" fillId="0" borderId="34" xfId="670" applyFont="1" applyBorder="1" applyAlignment="1">
      <alignment horizontal="center" vertical="center"/>
    </xf>
    <xf numFmtId="0" fontId="48" fillId="0" borderId="48" xfId="670" applyFont="1" applyBorder="1" applyAlignment="1">
      <alignment horizontal="center" vertical="center"/>
    </xf>
    <xf numFmtId="0" fontId="48" fillId="0" borderId="35" xfId="670" applyFont="1" applyBorder="1" applyAlignment="1">
      <alignment horizontal="center" vertical="center"/>
    </xf>
    <xf numFmtId="0" fontId="41" fillId="0" borderId="0" xfId="670" applyFont="1"/>
    <xf numFmtId="0" fontId="25" fillId="0" borderId="5" xfId="670" applyFont="1" applyBorder="1" applyAlignment="1">
      <alignment horizontal="center"/>
    </xf>
    <xf numFmtId="0" fontId="25" fillId="0" borderId="49" xfId="670" applyFont="1" applyBorder="1" applyAlignment="1">
      <alignment horizontal="center"/>
    </xf>
    <xf numFmtId="14" fontId="25" fillId="0" borderId="50" xfId="670" applyNumberFormat="1" applyFont="1" applyBorder="1" applyAlignment="1">
      <alignment horizontal="center"/>
    </xf>
    <xf numFmtId="0" fontId="24" fillId="0" borderId="50" xfId="670" applyFont="1" applyBorder="1"/>
    <xf numFmtId="0" fontId="25" fillId="0" borderId="51" xfId="670" applyFont="1" applyBorder="1" applyAlignment="1">
      <alignment horizontal="center"/>
    </xf>
    <xf numFmtId="0" fontId="25" fillId="0" borderId="7" xfId="670" applyFont="1" applyBorder="1" applyAlignment="1">
      <alignment horizontal="center"/>
    </xf>
    <xf numFmtId="0" fontId="25" fillId="0" borderId="52" xfId="670" applyFont="1" applyBorder="1" applyAlignment="1">
      <alignment horizontal="center"/>
    </xf>
    <xf numFmtId="0" fontId="25" fillId="0" borderId="46" xfId="670" applyFont="1" applyBorder="1" applyAlignment="1">
      <alignment horizontal="center"/>
    </xf>
    <xf numFmtId="0" fontId="25" fillId="0" borderId="29" xfId="670" applyFont="1" applyBorder="1" applyAlignment="1">
      <alignment horizontal="centerContinuous"/>
    </xf>
    <xf numFmtId="0" fontId="25" fillId="0" borderId="29" xfId="670" applyFont="1" applyBorder="1" applyAlignment="1">
      <alignment horizontal="center"/>
    </xf>
    <xf numFmtId="0" fontId="25" fillId="0" borderId="53" xfId="670" applyFont="1" applyBorder="1" applyAlignment="1">
      <alignment horizontal="centerContinuous"/>
    </xf>
    <xf numFmtId="0" fontId="24" fillId="0" borderId="54" xfId="670" quotePrefix="1" applyFont="1" applyBorder="1" applyAlignment="1">
      <alignment horizontal="center"/>
    </xf>
    <xf numFmtId="0" fontId="25" fillId="0" borderId="55" xfId="670" applyFont="1" applyBorder="1" applyAlignment="1">
      <alignment horizontal="center"/>
    </xf>
    <xf numFmtId="0" fontId="209" fillId="0" borderId="0" xfId="670" applyFont="1" applyAlignment="1">
      <alignment horizontal="left"/>
    </xf>
    <xf numFmtId="0" fontId="14" fillId="0" borderId="0" xfId="670" applyFont="1" applyAlignment="1">
      <alignment horizontal="centerContinuous"/>
    </xf>
    <xf numFmtId="0" fontId="25" fillId="0" borderId="0" xfId="670" quotePrefix="1" applyFont="1" applyAlignment="1">
      <alignment horizontal="centerContinuous"/>
    </xf>
    <xf numFmtId="0" fontId="211" fillId="0" borderId="0" xfId="670" applyFont="1" applyAlignment="1">
      <alignment horizontal="centerContinuous"/>
    </xf>
    <xf numFmtId="0" fontId="25" fillId="0" borderId="0" xfId="670" applyFont="1" applyAlignment="1">
      <alignment horizontal="centerContinuous"/>
    </xf>
    <xf numFmtId="0" fontId="25" fillId="0" borderId="0" xfId="670" applyFont="1" applyAlignment="1">
      <alignment horizontal="left"/>
    </xf>
    <xf numFmtId="3" fontId="25" fillId="0" borderId="14" xfId="709" applyNumberFormat="1" applyFont="1" applyBorder="1" applyAlignment="1">
      <alignment horizontal="right" vertical="center" wrapText="1"/>
    </xf>
    <xf numFmtId="0" fontId="25" fillId="3" borderId="14" xfId="709" applyFont="1" applyFill="1" applyBorder="1" applyAlignment="1">
      <alignment horizontal="center" vertical="center" wrapText="1"/>
    </xf>
    <xf numFmtId="0" fontId="25" fillId="3" borderId="14" xfId="709" applyFont="1" applyFill="1" applyBorder="1" applyAlignment="1">
      <alignment horizontal="center" wrapText="1"/>
    </xf>
    <xf numFmtId="0" fontId="25" fillId="0" borderId="14" xfId="709" applyFont="1" applyBorder="1" applyAlignment="1">
      <alignment horizontal="center" wrapText="1"/>
    </xf>
    <xf numFmtId="3" fontId="25" fillId="0" borderId="14" xfId="709" applyNumberFormat="1" applyFont="1" applyBorder="1" applyAlignment="1">
      <alignment horizontal="center" vertical="center" wrapText="1"/>
    </xf>
    <xf numFmtId="3" fontId="25" fillId="0" borderId="14" xfId="709" applyNumberFormat="1" applyFont="1" applyBorder="1" applyAlignment="1">
      <alignment horizontal="left" vertical="center" wrapText="1"/>
    </xf>
    <xf numFmtId="3" fontId="25" fillId="0" borderId="56" xfId="709" applyNumberFormat="1" applyFont="1" applyBorder="1" applyAlignment="1">
      <alignment horizontal="left" vertical="center" wrapText="1"/>
    </xf>
    <xf numFmtId="3" fontId="25" fillId="0" borderId="56" xfId="709" applyNumberFormat="1" applyFont="1" applyBorder="1" applyAlignment="1">
      <alignment horizontal="right" vertical="center" wrapText="1"/>
    </xf>
    <xf numFmtId="0" fontId="25" fillId="3" borderId="56" xfId="709" applyFont="1" applyFill="1" applyBorder="1" applyAlignment="1">
      <alignment horizontal="center" vertical="center" wrapText="1"/>
    </xf>
    <xf numFmtId="3" fontId="210" fillId="0" borderId="14" xfId="709" applyNumberFormat="1" applyFont="1" applyBorder="1" applyAlignment="1">
      <alignment horizontal="right" wrapText="1"/>
    </xf>
    <xf numFmtId="3" fontId="210" fillId="0" borderId="14" xfId="709" applyNumberFormat="1" applyFont="1" applyBorder="1" applyAlignment="1">
      <alignment horizontal="right" vertical="center" wrapText="1"/>
    </xf>
    <xf numFmtId="0" fontId="210" fillId="3" borderId="14" xfId="709" applyFont="1" applyFill="1" applyBorder="1" applyAlignment="1">
      <alignment horizontal="center" vertical="center" wrapText="1"/>
    </xf>
    <xf numFmtId="0" fontId="209" fillId="0" borderId="0" xfId="709" applyFont="1" applyAlignment="1">
      <alignment horizontal="center" vertical="center" wrapText="1"/>
    </xf>
    <xf numFmtId="0" fontId="25" fillId="0" borderId="13" xfId="709" applyFont="1" applyBorder="1" applyAlignment="1">
      <alignment horizontal="center" wrapText="1"/>
    </xf>
    <xf numFmtId="168" fontId="194" fillId="0" borderId="14" xfId="713" quotePrefix="1" applyNumberFormat="1" applyFont="1" applyBorder="1" applyAlignment="1">
      <alignment horizontal="left" wrapText="1"/>
    </xf>
    <xf numFmtId="3" fontId="195" fillId="0" borderId="14" xfId="710" applyNumberFormat="1" applyFont="1" applyBorder="1"/>
    <xf numFmtId="168" fontId="15" fillId="0" borderId="14" xfId="713" quotePrefix="1" applyNumberFormat="1" applyFont="1" applyFill="1" applyBorder="1" applyAlignment="1">
      <alignment horizontal="left" wrapText="1"/>
    </xf>
    <xf numFmtId="168" fontId="15" fillId="0" borderId="14" xfId="710" applyNumberFormat="1" applyFont="1" applyFill="1" applyBorder="1" applyAlignment="1">
      <alignment horizontal="center"/>
    </xf>
    <xf numFmtId="3" fontId="195" fillId="0" borderId="14" xfId="710" applyNumberFormat="1" applyFont="1" applyFill="1" applyBorder="1"/>
    <xf numFmtId="168" fontId="50" fillId="28" borderId="14" xfId="710" applyNumberFormat="1" applyFill="1" applyBorder="1"/>
    <xf numFmtId="168" fontId="50" fillId="29" borderId="14" xfId="710" applyNumberFormat="1" applyFill="1" applyBorder="1"/>
    <xf numFmtId="3" fontId="50" fillId="0" borderId="14" xfId="734" applyNumberFormat="1" applyBorder="1"/>
    <xf numFmtId="4" fontId="50" fillId="0" borderId="14" xfId="734" applyNumberFormat="1" applyBorder="1"/>
    <xf numFmtId="9" fontId="50" fillId="29" borderId="14" xfId="734" applyFill="1" applyBorder="1"/>
    <xf numFmtId="168" fontId="195" fillId="29" borderId="14" xfId="710" applyNumberFormat="1" applyFont="1" applyFill="1" applyBorder="1"/>
    <xf numFmtId="259" fontId="50" fillId="28" borderId="14" xfId="710" applyNumberFormat="1" applyFill="1" applyBorder="1"/>
    <xf numFmtId="3" fontId="210" fillId="0" borderId="14" xfId="709" applyNumberFormat="1" applyFont="1" applyBorder="1" applyAlignment="1">
      <alignment horizontal="center" vertical="center" wrapText="1"/>
    </xf>
    <xf numFmtId="3" fontId="25" fillId="0" borderId="56" xfId="709" applyNumberFormat="1" applyFont="1" applyBorder="1" applyAlignment="1">
      <alignment horizontal="center" vertical="center" wrapText="1"/>
    </xf>
    <xf numFmtId="3" fontId="50" fillId="0" borderId="0" xfId="710" applyNumberFormat="1" applyFont="1"/>
    <xf numFmtId="3" fontId="14" fillId="0" borderId="0" xfId="710" applyNumberFormat="1" applyFont="1"/>
    <xf numFmtId="3" fontId="15" fillId="0" borderId="46" xfId="670" applyNumberFormat="1" applyFont="1" applyBorder="1" applyAlignment="1">
      <alignment horizontal="center" vertical="center"/>
    </xf>
    <xf numFmtId="3" fontId="15" fillId="0" borderId="7" xfId="670" applyNumberFormat="1" applyFont="1" applyBorder="1" applyAlignment="1">
      <alignment horizontal="center" vertical="center"/>
    </xf>
    <xf numFmtId="3" fontId="15" fillId="0" borderId="52" xfId="670" applyNumberFormat="1" applyFont="1" applyBorder="1" applyAlignment="1">
      <alignment horizontal="center" vertical="center"/>
    </xf>
    <xf numFmtId="3" fontId="15" fillId="0" borderId="46" xfId="670" applyNumberFormat="1" applyFont="1" applyBorder="1"/>
    <xf numFmtId="3" fontId="25" fillId="0" borderId="46" xfId="670" applyNumberFormat="1" applyFont="1" applyBorder="1"/>
    <xf numFmtId="3" fontId="209" fillId="0" borderId="46" xfId="670" applyNumberFormat="1" applyFont="1" applyBorder="1"/>
    <xf numFmtId="3" fontId="24" fillId="0" borderId="46" xfId="670" applyNumberFormat="1" applyFont="1" applyBorder="1"/>
    <xf numFmtId="3" fontId="5" fillId="0" borderId="0" xfId="0" applyNumberFormat="1" applyFont="1"/>
    <xf numFmtId="0" fontId="212" fillId="0" borderId="37" xfId="0" applyFont="1" applyBorder="1" applyAlignment="1"/>
    <xf numFmtId="0" fontId="40" fillId="26" borderId="57" xfId="712" applyNumberFormat="1" applyFont="1" applyFill="1" applyBorder="1"/>
    <xf numFmtId="3" fontId="25" fillId="0" borderId="46" xfId="709" applyNumberFormat="1" applyFont="1" applyBorder="1" applyAlignment="1">
      <alignment horizontal="right" wrapText="1"/>
    </xf>
    <xf numFmtId="3" fontId="25" fillId="0" borderId="58" xfId="0" applyNumberFormat="1" applyFont="1" applyBorder="1"/>
    <xf numFmtId="3" fontId="16" fillId="0" borderId="58" xfId="0" applyNumberFormat="1" applyFont="1" applyBorder="1"/>
    <xf numFmtId="0" fontId="16" fillId="0" borderId="7" xfId="0" applyFont="1" applyBorder="1"/>
    <xf numFmtId="0" fontId="16" fillId="0" borderId="52" xfId="0" applyFont="1" applyBorder="1"/>
    <xf numFmtId="3" fontId="8" fillId="0" borderId="41" xfId="0" applyNumberFormat="1" applyFont="1" applyBorder="1" applyAlignment="1">
      <alignment horizontal="center"/>
    </xf>
    <xf numFmtId="3" fontId="8" fillId="0" borderId="19" xfId="0" applyNumberFormat="1" applyFont="1" applyBorder="1" applyAlignment="1"/>
    <xf numFmtId="3" fontId="5" fillId="0" borderId="19" xfId="0" applyNumberFormat="1" applyFont="1" applyBorder="1" applyAlignment="1"/>
    <xf numFmtId="3" fontId="0" fillId="0" borderId="0" xfId="0" applyNumberFormat="1"/>
    <xf numFmtId="167" fontId="11" fillId="0" borderId="8" xfId="0" applyNumberFormat="1" applyFont="1" applyBorder="1"/>
    <xf numFmtId="167" fontId="11" fillId="0" borderId="32" xfId="0" applyNumberFormat="1" applyFont="1" applyBorder="1"/>
    <xf numFmtId="167" fontId="35" fillId="0" borderId="8" xfId="0" applyNumberFormat="1" applyFont="1" applyBorder="1"/>
    <xf numFmtId="167" fontId="33" fillId="0" borderId="8" xfId="0" applyNumberFormat="1" applyFont="1" applyBorder="1"/>
    <xf numFmtId="167" fontId="29" fillId="0" borderId="8" xfId="0" applyNumberFormat="1" applyFont="1" applyBorder="1"/>
    <xf numFmtId="167" fontId="12" fillId="0" borderId="8" xfId="0" applyNumberFormat="1" applyFont="1" applyBorder="1"/>
    <xf numFmtId="167" fontId="12" fillId="0" borderId="32" xfId="0" applyNumberFormat="1" applyFont="1" applyBorder="1"/>
    <xf numFmtId="10" fontId="24" fillId="0" borderId="14" xfId="0" applyNumberFormat="1" applyFont="1" applyBorder="1"/>
    <xf numFmtId="9" fontId="24" fillId="0" borderId="14" xfId="0" applyNumberFormat="1" applyFont="1" applyBorder="1"/>
    <xf numFmtId="3" fontId="25" fillId="0" borderId="58" xfId="709" applyNumberFormat="1" applyFont="1" applyBorder="1" applyAlignment="1">
      <alignment horizontal="left" vertical="center" wrapText="1"/>
    </xf>
    <xf numFmtId="3" fontId="25" fillId="0" borderId="58" xfId="709" applyNumberFormat="1" applyFont="1" applyBorder="1" applyAlignment="1">
      <alignment horizontal="center" vertical="center" wrapText="1"/>
    </xf>
    <xf numFmtId="3" fontId="25" fillId="0" borderId="58" xfId="709" applyNumberFormat="1" applyFont="1" applyBorder="1" applyAlignment="1">
      <alignment horizontal="right" vertical="center" wrapText="1"/>
    </xf>
    <xf numFmtId="0" fontId="25" fillId="3" borderId="58" xfId="709" applyFont="1" applyFill="1" applyBorder="1" applyAlignment="1">
      <alignment horizontal="center" vertical="center" wrapText="1"/>
    </xf>
    <xf numFmtId="3" fontId="213" fillId="0" borderId="7" xfId="670" applyNumberFormat="1" applyFont="1" applyBorder="1"/>
    <xf numFmtId="3" fontId="213" fillId="0" borderId="46" xfId="670" applyNumberFormat="1" applyFont="1" applyBorder="1"/>
    <xf numFmtId="10" fontId="195" fillId="0" borderId="14" xfId="455" applyNumberFormat="1" applyFont="1" applyBorder="1"/>
    <xf numFmtId="3" fontId="15" fillId="0" borderId="0" xfId="709" applyNumberFormat="1" applyFont="1" applyAlignment="1">
      <alignment wrapText="1"/>
    </xf>
    <xf numFmtId="168" fontId="214" fillId="0" borderId="14" xfId="710" applyNumberFormat="1" applyFont="1" applyBorder="1"/>
    <xf numFmtId="168" fontId="26" fillId="0" borderId="0" xfId="710" applyNumberFormat="1" applyFont="1" applyBorder="1" applyAlignment="1"/>
    <xf numFmtId="168" fontId="195" fillId="0" borderId="59" xfId="710" applyNumberFormat="1" applyFont="1" applyBorder="1"/>
    <xf numFmtId="168" fontId="49" fillId="0" borderId="59" xfId="710" applyNumberFormat="1" applyFont="1" applyBorder="1"/>
    <xf numFmtId="168" fontId="189" fillId="0" borderId="23" xfId="710" applyNumberFormat="1" applyFont="1" applyBorder="1" applyAlignment="1">
      <alignment horizontal="center" vertical="center"/>
    </xf>
    <xf numFmtId="168" fontId="190" fillId="0" borderId="60" xfId="713" applyNumberFormat="1" applyFont="1" applyBorder="1" applyAlignment="1">
      <alignment horizontal="center"/>
    </xf>
    <xf numFmtId="168" fontId="191" fillId="0" borderId="60" xfId="713" applyNumberFormat="1" applyFont="1" applyBorder="1" applyAlignment="1">
      <alignment horizontal="center" wrapText="1"/>
    </xf>
    <xf numFmtId="168" fontId="192" fillId="0" borderId="60" xfId="710" applyNumberFormat="1" applyFont="1" applyBorder="1" applyAlignment="1">
      <alignment horizontal="center"/>
    </xf>
    <xf numFmtId="168" fontId="192" fillId="0" borderId="60" xfId="710" applyNumberFormat="1" applyFont="1" applyBorder="1"/>
    <xf numFmtId="168" fontId="49" fillId="0" borderId="60" xfId="710" applyNumberFormat="1" applyFont="1" applyBorder="1"/>
    <xf numFmtId="168" fontId="191" fillId="0" borderId="61" xfId="713" applyNumberFormat="1" applyFont="1" applyBorder="1" applyAlignment="1">
      <alignment horizontal="center" vertical="center" wrapText="1"/>
    </xf>
    <xf numFmtId="168" fontId="191" fillId="0" borderId="61" xfId="713" applyNumberFormat="1" applyFont="1" applyBorder="1" applyAlignment="1">
      <alignment horizontal="left" wrapText="1"/>
    </xf>
    <xf numFmtId="168" fontId="14" fillId="0" borderId="61" xfId="710" applyNumberFormat="1" applyFont="1" applyBorder="1" applyAlignment="1">
      <alignment horizontal="center"/>
    </xf>
    <xf numFmtId="168" fontId="49" fillId="0" borderId="61" xfId="710" applyNumberFormat="1" applyFont="1" applyBorder="1"/>
    <xf numFmtId="168" fontId="195" fillId="0" borderId="61" xfId="710" applyNumberFormat="1" applyFont="1" applyBorder="1"/>
    <xf numFmtId="168" fontId="193" fillId="0" borderId="61" xfId="710" applyNumberFormat="1" applyFont="1" applyBorder="1"/>
    <xf numFmtId="168" fontId="194" fillId="0" borderId="61" xfId="713" applyNumberFormat="1" applyFont="1" applyBorder="1" applyAlignment="1">
      <alignment horizontal="center" vertical="center" wrapText="1"/>
    </xf>
    <xf numFmtId="168" fontId="194" fillId="0" borderId="61" xfId="713" applyNumberFormat="1" applyFont="1" applyBorder="1" applyAlignment="1">
      <alignment horizontal="left" wrapText="1"/>
    </xf>
    <xf numFmtId="168" fontId="196" fillId="0" borderId="61" xfId="713" applyNumberFormat="1" applyFont="1" applyBorder="1" applyAlignment="1">
      <alignment horizontal="center" vertical="center" wrapText="1"/>
    </xf>
    <xf numFmtId="168" fontId="196" fillId="0" borderId="61" xfId="713" applyNumberFormat="1" applyFont="1" applyBorder="1" applyAlignment="1">
      <alignment horizontal="left" wrapText="1"/>
    </xf>
    <xf numFmtId="168" fontId="50" fillId="0" borderId="61" xfId="710" applyNumberFormat="1" applyBorder="1"/>
    <xf numFmtId="168" fontId="15" fillId="0" borderId="61" xfId="713" applyNumberFormat="1" applyFont="1" applyBorder="1" applyAlignment="1">
      <alignment horizontal="left" wrapText="1"/>
    </xf>
    <xf numFmtId="168" fontId="50" fillId="0" borderId="61" xfId="710" applyNumberFormat="1" applyFont="1" applyBorder="1"/>
    <xf numFmtId="168" fontId="14" fillId="0" borderId="61" xfId="713" quotePrefix="1" applyNumberFormat="1" applyFont="1" applyBorder="1" applyAlignment="1">
      <alignment horizontal="left" wrapText="1"/>
    </xf>
    <xf numFmtId="168" fontId="50" fillId="0" borderId="61" xfId="710" applyNumberFormat="1" applyFont="1" applyBorder="1" applyAlignment="1">
      <alignment horizontal="right"/>
    </xf>
    <xf numFmtId="256" fontId="50" fillId="0" borderId="61" xfId="710" applyNumberFormat="1" applyFont="1" applyBorder="1" applyAlignment="1">
      <alignment horizontal="right"/>
    </xf>
    <xf numFmtId="0" fontId="50" fillId="0" borderId="61" xfId="710" applyFont="1" applyBorder="1"/>
    <xf numFmtId="257" fontId="50" fillId="0" borderId="61" xfId="734" applyNumberFormat="1" applyFont="1" applyBorder="1" applyAlignment="1">
      <alignment horizontal="right"/>
    </xf>
    <xf numFmtId="168" fontId="14" fillId="0" borderId="61" xfId="713" applyNumberFormat="1" applyFont="1" applyBorder="1" applyAlignment="1">
      <alignment horizontal="left" wrapText="1"/>
    </xf>
    <xf numFmtId="3" fontId="50" fillId="0" borderId="61" xfId="710" applyNumberFormat="1" applyFont="1" applyBorder="1"/>
    <xf numFmtId="168" fontId="196" fillId="0" borderId="61" xfId="713" applyNumberFormat="1" applyFont="1" applyFill="1" applyBorder="1" applyAlignment="1">
      <alignment horizontal="center" vertical="center" wrapText="1"/>
    </xf>
    <xf numFmtId="168" fontId="14" fillId="0" borderId="61" xfId="713" applyNumberFormat="1" applyFont="1" applyFill="1" applyBorder="1" applyAlignment="1">
      <alignment horizontal="left" wrapText="1"/>
    </xf>
    <xf numFmtId="168" fontId="14" fillId="0" borderId="61" xfId="710" applyNumberFormat="1" applyFont="1" applyFill="1" applyBorder="1" applyAlignment="1">
      <alignment horizontal="center"/>
    </xf>
    <xf numFmtId="168" fontId="50" fillId="0" borderId="61" xfId="710" applyNumberFormat="1" applyFont="1" applyFill="1" applyBorder="1"/>
    <xf numFmtId="3" fontId="50" fillId="0" borderId="61" xfId="710" applyNumberFormat="1" applyFont="1" applyFill="1" applyBorder="1"/>
    <xf numFmtId="168" fontId="14" fillId="0" borderId="61" xfId="713" quotePrefix="1" applyNumberFormat="1" applyFont="1" applyFill="1" applyBorder="1" applyAlignment="1">
      <alignment horizontal="left" wrapText="1"/>
    </xf>
    <xf numFmtId="168" fontId="196" fillId="0" borderId="61" xfId="713" applyNumberFormat="1" applyFont="1" applyBorder="1" applyAlignment="1">
      <alignment horizontal="left" vertical="center" wrapText="1"/>
    </xf>
    <xf numFmtId="168" fontId="50" fillId="29" borderId="61" xfId="710" applyNumberFormat="1" applyFont="1" applyFill="1" applyBorder="1"/>
    <xf numFmtId="10" fontId="50" fillId="0" borderId="61" xfId="455" applyNumberFormat="1" applyFont="1" applyBorder="1"/>
    <xf numFmtId="168" fontId="15" fillId="0" borderId="61" xfId="710" applyNumberFormat="1" applyFont="1" applyBorder="1" applyAlignment="1">
      <alignment horizontal="center"/>
    </xf>
    <xf numFmtId="3" fontId="50" fillId="0" borderId="61" xfId="710" applyNumberFormat="1" applyBorder="1"/>
    <xf numFmtId="168" fontId="44" fillId="0" borderId="61" xfId="713" applyNumberFormat="1" applyFont="1" applyBorder="1" applyAlignment="1">
      <alignment horizontal="left" wrapText="1"/>
    </xf>
    <xf numFmtId="9" fontId="50" fillId="0" borderId="61" xfId="734" quotePrefix="1" applyFont="1" applyBorder="1" applyAlignment="1">
      <alignment horizontal="right"/>
    </xf>
    <xf numFmtId="168" fontId="192" fillId="0" borderId="61" xfId="710" applyNumberFormat="1" applyFont="1" applyBorder="1"/>
    <xf numFmtId="168" fontId="18" fillId="0" borderId="61" xfId="710" applyNumberFormat="1" applyFont="1" applyBorder="1"/>
    <xf numFmtId="168" fontId="198" fillId="0" borderId="61" xfId="713" applyNumberFormat="1" applyFont="1" applyBorder="1" applyAlignment="1">
      <alignment horizontal="center" vertical="center" wrapText="1"/>
    </xf>
    <xf numFmtId="168" fontId="14" fillId="0" borderId="61" xfId="713" applyNumberFormat="1" applyFont="1" applyBorder="1" applyAlignment="1">
      <alignment horizontal="center" vertical="center" wrapText="1"/>
    </xf>
    <xf numFmtId="168" fontId="196" fillId="0" borderId="61" xfId="713" quotePrefix="1" applyNumberFormat="1" applyFont="1" applyBorder="1" applyAlignment="1">
      <alignment horizontal="left" wrapText="1"/>
    </xf>
    <xf numFmtId="9" fontId="50" fillId="0" borderId="61" xfId="734" applyFont="1" applyBorder="1"/>
    <xf numFmtId="3" fontId="50" fillId="0" borderId="61" xfId="734" applyNumberFormat="1" applyFont="1" applyBorder="1"/>
    <xf numFmtId="4" fontId="50" fillId="0" borderId="61" xfId="734" applyNumberFormat="1" applyFont="1" applyBorder="1"/>
    <xf numFmtId="9" fontId="50" fillId="29" borderId="61" xfId="734" applyFont="1" applyFill="1" applyBorder="1"/>
    <xf numFmtId="168" fontId="196" fillId="0" borderId="61" xfId="713" applyNumberFormat="1" applyFont="1" applyFill="1" applyBorder="1" applyAlignment="1">
      <alignment horizontal="left" wrapText="1"/>
    </xf>
    <xf numFmtId="168" fontId="197" fillId="0" borderId="61" xfId="710" applyNumberFormat="1" applyFont="1" applyBorder="1" applyAlignment="1">
      <alignment horizontal="center"/>
    </xf>
    <xf numFmtId="167" fontId="14" fillId="0" borderId="61" xfId="710" applyNumberFormat="1" applyFont="1" applyBorder="1" applyAlignment="1">
      <alignment horizontal="center"/>
    </xf>
    <xf numFmtId="168" fontId="44" fillId="0" borderId="61" xfId="710" applyNumberFormat="1" applyFont="1" applyBorder="1" applyAlignment="1">
      <alignment horizontal="center"/>
    </xf>
    <xf numFmtId="168" fontId="15" fillId="0" borderId="61" xfId="713" applyNumberFormat="1" applyFont="1" applyBorder="1" applyAlignment="1">
      <alignment horizontal="left" vertical="center" wrapText="1"/>
    </xf>
    <xf numFmtId="258" fontId="50" fillId="0" borderId="61" xfId="710" applyNumberFormat="1" applyBorder="1"/>
    <xf numFmtId="167" fontId="50" fillId="0" borderId="61" xfId="710" applyNumberFormat="1" applyFont="1" applyBorder="1" applyAlignment="1">
      <alignment horizontal="center"/>
    </xf>
    <xf numFmtId="49" fontId="14" fillId="0" borderId="61" xfId="711" applyNumberFormat="1" applyFont="1" applyBorder="1"/>
    <xf numFmtId="168" fontId="50" fillId="0" borderId="61" xfId="710" applyNumberFormat="1" applyFont="1" applyBorder="1" applyAlignment="1">
      <alignment vertical="center"/>
    </xf>
    <xf numFmtId="49" fontId="14" fillId="0" borderId="61" xfId="711" applyNumberFormat="1" applyFont="1" applyBorder="1" applyAlignment="1">
      <alignment horizontal="left" vertical="center" wrapText="1"/>
    </xf>
    <xf numFmtId="49" fontId="14" fillId="0" borderId="61" xfId="711" applyNumberFormat="1" applyFont="1" applyBorder="1" applyAlignment="1">
      <alignment wrapText="1"/>
    </xf>
    <xf numFmtId="167" fontId="50" fillId="0" borderId="61" xfId="710" applyNumberFormat="1" applyFont="1" applyBorder="1"/>
    <xf numFmtId="168" fontId="50" fillId="0" borderId="61" xfId="710" applyNumberFormat="1" applyFont="1" applyBorder="1" applyAlignment="1">
      <alignment horizontal="center"/>
    </xf>
    <xf numFmtId="259" fontId="193" fillId="0" borderId="61" xfId="710" applyNumberFormat="1" applyFont="1" applyBorder="1"/>
    <xf numFmtId="168" fontId="199" fillId="0" borderId="61" xfId="713" applyNumberFormat="1" applyFont="1" applyBorder="1" applyAlignment="1">
      <alignment horizontal="center" vertical="center" wrapText="1"/>
    </xf>
    <xf numFmtId="168" fontId="199" fillId="0" borderId="61" xfId="713" applyNumberFormat="1" applyFont="1" applyBorder="1" applyAlignment="1">
      <alignment horizontal="left" wrapText="1"/>
    </xf>
    <xf numFmtId="168" fontId="200" fillId="0" borderId="61" xfId="710" applyNumberFormat="1" applyFont="1" applyBorder="1"/>
    <xf numFmtId="259" fontId="200" fillId="0" borderId="61" xfId="710" applyNumberFormat="1" applyFont="1" applyBorder="1"/>
    <xf numFmtId="168" fontId="214" fillId="0" borderId="61" xfId="710" applyNumberFormat="1" applyFont="1" applyBorder="1"/>
    <xf numFmtId="259" fontId="50" fillId="28" borderId="61" xfId="710" applyNumberFormat="1" applyFill="1" applyBorder="1"/>
    <xf numFmtId="259" fontId="50" fillId="0" borderId="61" xfId="710" applyNumberFormat="1" applyBorder="1"/>
    <xf numFmtId="168" fontId="50" fillId="28" borderId="61" xfId="710" applyNumberFormat="1" applyFill="1" applyBorder="1"/>
    <xf numFmtId="168" fontId="201" fillId="10" borderId="61" xfId="713" applyNumberFormat="1" applyFont="1" applyFill="1" applyBorder="1" applyAlignment="1">
      <alignment horizontal="left" wrapText="1"/>
    </xf>
    <xf numFmtId="168" fontId="191" fillId="3" borderId="61" xfId="713" applyNumberFormat="1" applyFont="1" applyFill="1" applyBorder="1" applyAlignment="1">
      <alignment horizontal="left" wrapText="1"/>
    </xf>
    <xf numFmtId="168" fontId="202" fillId="0" borderId="61" xfId="713" applyNumberFormat="1" applyFont="1" applyBorder="1" applyAlignment="1">
      <alignment horizontal="center"/>
    </xf>
    <xf numFmtId="168" fontId="194" fillId="0" borderId="61" xfId="713" applyNumberFormat="1" applyFont="1" applyBorder="1" applyAlignment="1">
      <alignment horizontal="left" indent="1"/>
    </xf>
    <xf numFmtId="168" fontId="203" fillId="0" borderId="61" xfId="713" applyNumberFormat="1" applyFont="1" applyBorder="1" applyAlignment="1">
      <alignment horizontal="center"/>
    </xf>
    <xf numFmtId="9" fontId="50" fillId="3" borderId="61" xfId="710" applyNumberFormat="1" applyFill="1" applyBorder="1"/>
    <xf numFmtId="9" fontId="50" fillId="0" borderId="61" xfId="734" applyBorder="1"/>
    <xf numFmtId="256" fontId="50" fillId="0" borderId="61" xfId="710" applyNumberFormat="1" applyBorder="1"/>
    <xf numFmtId="168" fontId="203" fillId="0" borderId="62" xfId="713" applyNumberFormat="1" applyFont="1" applyBorder="1" applyAlignment="1">
      <alignment horizontal="center"/>
    </xf>
    <xf numFmtId="168" fontId="203" fillId="0" borderId="62" xfId="713" applyNumberFormat="1" applyFont="1" applyBorder="1" applyAlignment="1">
      <alignment horizontal="left" indent="1"/>
    </xf>
    <xf numFmtId="168" fontId="50" fillId="0" borderId="62" xfId="710" applyNumberFormat="1" applyBorder="1"/>
    <xf numFmtId="168" fontId="193" fillId="0" borderId="60" xfId="710" applyNumberFormat="1" applyFont="1" applyBorder="1"/>
    <xf numFmtId="0" fontId="218" fillId="0" borderId="0" xfId="0" applyFont="1" applyAlignment="1">
      <alignment vertical="center" wrapText="1"/>
    </xf>
    <xf numFmtId="0" fontId="218" fillId="0" borderId="0" xfId="0" applyFont="1" applyAlignment="1">
      <alignment horizontal="center" vertical="center" wrapText="1"/>
    </xf>
    <xf numFmtId="0" fontId="219" fillId="0" borderId="0" xfId="0" applyFont="1" applyAlignment="1">
      <alignment horizontal="center" vertical="center" wrapText="1"/>
    </xf>
    <xf numFmtId="260" fontId="219" fillId="0" borderId="0" xfId="455" applyNumberFormat="1" applyFont="1" applyAlignment="1">
      <alignment horizontal="center" vertical="center" wrapText="1"/>
    </xf>
    <xf numFmtId="0" fontId="219" fillId="0" borderId="0" xfId="0" applyFont="1" applyAlignment="1">
      <alignment vertical="center" wrapText="1"/>
    </xf>
    <xf numFmtId="261" fontId="218" fillId="0" borderId="0" xfId="0" applyNumberFormat="1" applyFont="1" applyAlignment="1">
      <alignment vertical="center" wrapText="1"/>
    </xf>
    <xf numFmtId="260" fontId="218" fillId="0" borderId="0" xfId="455" applyNumberFormat="1" applyFont="1" applyAlignment="1">
      <alignment vertical="center" wrapText="1"/>
    </xf>
    <xf numFmtId="260" fontId="218" fillId="0" borderId="0" xfId="0" applyNumberFormat="1" applyFont="1" applyAlignment="1">
      <alignment vertical="center" wrapText="1"/>
    </xf>
    <xf numFmtId="0" fontId="15" fillId="0" borderId="14" xfId="0" applyFont="1" applyBorder="1" applyAlignment="1">
      <alignment horizontal="center" vertical="center" wrapText="1"/>
    </xf>
    <xf numFmtId="0" fontId="15" fillId="0" borderId="14" xfId="0" applyFont="1" applyBorder="1" applyAlignment="1">
      <alignment vertical="center" wrapText="1"/>
    </xf>
    <xf numFmtId="261" fontId="194" fillId="0" borderId="14" xfId="455" applyNumberFormat="1" applyFont="1" applyBorder="1" applyAlignment="1">
      <alignment vertical="center" wrapText="1"/>
    </xf>
    <xf numFmtId="0" fontId="14" fillId="0" borderId="14" xfId="0" applyFont="1" applyBorder="1" applyAlignment="1">
      <alignment horizontal="center" vertical="center" wrapText="1"/>
    </xf>
    <xf numFmtId="0" fontId="222" fillId="0" borderId="14" xfId="0" applyFont="1" applyBorder="1" applyAlignment="1">
      <alignment horizontal="center" vertical="center" wrapText="1"/>
    </xf>
    <xf numFmtId="170" fontId="15" fillId="0" borderId="14" xfId="0" applyNumberFormat="1" applyFont="1" applyBorder="1" applyAlignment="1">
      <alignment vertical="center" wrapText="1"/>
    </xf>
    <xf numFmtId="0" fontId="220" fillId="0" borderId="0" xfId="0" applyFont="1" applyAlignment="1">
      <alignment vertical="center" wrapText="1"/>
    </xf>
    <xf numFmtId="170" fontId="222" fillId="0" borderId="14" xfId="0" applyNumberFormat="1" applyFont="1" applyBorder="1" applyAlignment="1">
      <alignment vertical="center" wrapText="1"/>
    </xf>
    <xf numFmtId="170" fontId="14" fillId="0" borderId="14" xfId="0" applyNumberFormat="1" applyFont="1" applyBorder="1" applyAlignment="1">
      <alignment vertical="center" wrapText="1"/>
    </xf>
    <xf numFmtId="0" fontId="218" fillId="0" borderId="56" xfId="0" applyFont="1" applyBorder="1" applyAlignment="1">
      <alignment horizontal="center" vertical="center" wrapText="1"/>
    </xf>
    <xf numFmtId="0" fontId="218" fillId="0" borderId="56" xfId="0" applyFont="1" applyBorder="1" applyAlignment="1">
      <alignment vertical="center" wrapText="1"/>
    </xf>
    <xf numFmtId="170" fontId="222" fillId="0" borderId="14" xfId="0" applyNumberFormat="1" applyFont="1" applyBorder="1" applyAlignment="1">
      <alignment horizontal="left" vertical="center" wrapText="1"/>
    </xf>
    <xf numFmtId="170" fontId="218" fillId="0" borderId="0" xfId="455" applyNumberFormat="1" applyFont="1" applyAlignment="1">
      <alignment vertical="center" wrapText="1"/>
    </xf>
    <xf numFmtId="170" fontId="220" fillId="0" borderId="0" xfId="455" applyNumberFormat="1" applyFont="1" applyAlignment="1">
      <alignment vertical="center" wrapText="1"/>
    </xf>
    <xf numFmtId="170" fontId="219" fillId="0" borderId="0" xfId="455" applyNumberFormat="1" applyFont="1" applyAlignment="1">
      <alignment vertical="center" wrapText="1"/>
    </xf>
    <xf numFmtId="170" fontId="219" fillId="0" borderId="0" xfId="455" applyNumberFormat="1" applyFont="1" applyAlignment="1">
      <alignment horizontal="center" vertical="center" wrapText="1"/>
    </xf>
    <xf numFmtId="170" fontId="229" fillId="0" borderId="0" xfId="455" applyNumberFormat="1" applyFont="1" applyAlignment="1">
      <alignment vertical="center" wrapText="1"/>
    </xf>
    <xf numFmtId="170" fontId="230" fillId="0" borderId="0" xfId="455" applyNumberFormat="1" applyFont="1" applyAlignment="1">
      <alignment vertical="center" wrapText="1"/>
    </xf>
    <xf numFmtId="170" fontId="231" fillId="0" borderId="0" xfId="455" applyNumberFormat="1" applyFont="1" applyAlignment="1">
      <alignment vertical="center" wrapText="1"/>
    </xf>
    <xf numFmtId="170" fontId="231" fillId="0" borderId="0" xfId="455" applyNumberFormat="1" applyFont="1" applyAlignment="1">
      <alignment horizontal="center" vertical="center" wrapText="1"/>
    </xf>
    <xf numFmtId="170" fontId="218" fillId="0" borderId="63" xfId="455" applyNumberFormat="1" applyFont="1" applyBorder="1" applyAlignment="1">
      <alignment vertical="center" wrapText="1"/>
    </xf>
    <xf numFmtId="170" fontId="194" fillId="0" borderId="0" xfId="455" applyNumberFormat="1" applyFont="1" applyBorder="1" applyAlignment="1">
      <alignment vertical="center" wrapText="1"/>
    </xf>
    <xf numFmtId="170" fontId="199" fillId="0" borderId="0" xfId="455" applyNumberFormat="1" applyFont="1" applyBorder="1" applyAlignment="1">
      <alignment vertical="center" wrapText="1"/>
    </xf>
    <xf numFmtId="170" fontId="196" fillId="0" borderId="0" xfId="455" applyNumberFormat="1" applyFont="1" applyBorder="1" applyAlignment="1">
      <alignment vertical="center" wrapText="1"/>
    </xf>
    <xf numFmtId="170" fontId="199" fillId="0" borderId="0" xfId="455" applyNumberFormat="1" applyFont="1" applyBorder="1" applyAlignment="1">
      <alignment horizontal="center" vertical="center" wrapText="1"/>
    </xf>
    <xf numFmtId="170" fontId="218" fillId="0" borderId="0" xfId="455" applyNumberFormat="1" applyFont="1" applyBorder="1" applyAlignment="1">
      <alignment vertical="center" wrapText="1"/>
    </xf>
    <xf numFmtId="170" fontId="217" fillId="0" borderId="0" xfId="455" applyNumberFormat="1" applyFont="1" applyAlignment="1">
      <alignment horizontal="center" vertical="center" wrapText="1"/>
    </xf>
    <xf numFmtId="170" fontId="199" fillId="0" borderId="0" xfId="455" applyNumberFormat="1" applyFont="1" applyAlignment="1">
      <alignment horizontal="center" vertical="center" wrapText="1"/>
    </xf>
    <xf numFmtId="170" fontId="191" fillId="0" borderId="0" xfId="455" applyNumberFormat="1" applyFont="1" applyBorder="1" applyAlignment="1">
      <alignment vertical="center" wrapText="1"/>
    </xf>
    <xf numFmtId="170" fontId="221" fillId="0" borderId="0" xfId="455" applyNumberFormat="1" applyFont="1" applyBorder="1" applyAlignment="1">
      <alignment vertical="center" wrapText="1"/>
    </xf>
    <xf numFmtId="261" fontId="202" fillId="0" borderId="14" xfId="455" applyNumberFormat="1" applyFont="1" applyBorder="1" applyAlignment="1">
      <alignment vertical="center" wrapText="1"/>
    </xf>
    <xf numFmtId="261" fontId="223" fillId="0" borderId="14" xfId="455" applyNumberFormat="1" applyFont="1" applyBorder="1" applyAlignment="1">
      <alignment vertical="center" wrapText="1"/>
    </xf>
    <xf numFmtId="170" fontId="223" fillId="0" borderId="14" xfId="455" applyNumberFormat="1" applyFont="1" applyBorder="1" applyAlignment="1">
      <alignment vertical="center" wrapText="1"/>
    </xf>
    <xf numFmtId="261" fontId="203" fillId="0" borderId="14" xfId="455" applyNumberFormat="1" applyFont="1" applyBorder="1" applyAlignment="1">
      <alignment vertical="center" wrapText="1"/>
    </xf>
    <xf numFmtId="170" fontId="203" fillId="0" borderId="14" xfId="455" applyNumberFormat="1" applyFont="1" applyBorder="1" applyAlignment="1">
      <alignment vertical="center" wrapText="1"/>
    </xf>
    <xf numFmtId="261" fontId="223" fillId="0" borderId="14" xfId="455" applyNumberFormat="1" applyFont="1" applyBorder="1" applyAlignment="1">
      <alignment horizontal="center" vertical="center" wrapText="1"/>
    </xf>
    <xf numFmtId="170" fontId="223" fillId="0" borderId="14" xfId="455" applyNumberFormat="1" applyFont="1" applyBorder="1" applyAlignment="1">
      <alignment horizontal="center" vertical="center" wrapText="1"/>
    </xf>
    <xf numFmtId="261" fontId="202" fillId="0" borderId="14" xfId="0" applyNumberFormat="1" applyFont="1" applyBorder="1" applyAlignment="1">
      <alignment vertical="center" wrapText="1"/>
    </xf>
    <xf numFmtId="168" fontId="222" fillId="0" borderId="14" xfId="713" applyNumberFormat="1" applyFont="1" applyBorder="1" applyAlignment="1">
      <alignment horizontal="left" wrapText="1"/>
    </xf>
    <xf numFmtId="168" fontId="199" fillId="0" borderId="14" xfId="713" applyNumberFormat="1" applyFont="1" applyBorder="1" applyAlignment="1">
      <alignment horizontal="left" vertical="center" wrapText="1"/>
    </xf>
    <xf numFmtId="49" fontId="222" fillId="0" borderId="14" xfId="711" applyNumberFormat="1" applyFont="1" applyBorder="1" applyAlignment="1">
      <alignment wrapText="1"/>
    </xf>
    <xf numFmtId="49" fontId="222" fillId="0" borderId="14" xfId="711" applyNumberFormat="1" applyFont="1" applyBorder="1" applyAlignment="1">
      <alignment horizontal="justify" vertical="justify" wrapText="1"/>
    </xf>
    <xf numFmtId="168" fontId="15" fillId="0" borderId="0" xfId="710" applyNumberFormat="1" applyFont="1"/>
    <xf numFmtId="170" fontId="229" fillId="28" borderId="0" xfId="455" applyNumberFormat="1" applyFont="1" applyFill="1" applyAlignment="1">
      <alignment vertical="center" wrapText="1"/>
    </xf>
    <xf numFmtId="170" fontId="230" fillId="28" borderId="0" xfId="455" applyNumberFormat="1" applyFont="1" applyFill="1" applyAlignment="1">
      <alignment vertical="center" wrapText="1"/>
    </xf>
    <xf numFmtId="0" fontId="14" fillId="0" borderId="14" xfId="0" applyFont="1" applyBorder="1" applyAlignment="1">
      <alignment vertical="center" wrapText="1"/>
    </xf>
    <xf numFmtId="0" fontId="222" fillId="0" borderId="14" xfId="0" applyFont="1" applyBorder="1" applyAlignment="1">
      <alignment vertical="center" wrapText="1"/>
    </xf>
    <xf numFmtId="170" fontId="231" fillId="28" borderId="0" xfId="455" applyNumberFormat="1" applyFont="1" applyFill="1" applyAlignment="1">
      <alignment vertical="center" wrapText="1"/>
    </xf>
    <xf numFmtId="260" fontId="219" fillId="0" borderId="0" xfId="0" applyNumberFormat="1" applyFont="1" applyAlignment="1">
      <alignment vertical="center" wrapText="1"/>
    </xf>
    <xf numFmtId="170" fontId="218" fillId="0" borderId="56" xfId="455" applyNumberFormat="1" applyFont="1" applyBorder="1" applyAlignment="1">
      <alignment vertical="center" wrapText="1"/>
    </xf>
    <xf numFmtId="170" fontId="218" fillId="28" borderId="0" xfId="455" applyNumberFormat="1" applyFont="1" applyFill="1" applyAlignment="1">
      <alignment vertical="center" wrapText="1"/>
    </xf>
    <xf numFmtId="170" fontId="219" fillId="28" borderId="0" xfId="455" applyNumberFormat="1" applyFont="1" applyFill="1" applyAlignment="1">
      <alignment vertical="center" wrapText="1"/>
    </xf>
    <xf numFmtId="170" fontId="14" fillId="0" borderId="14" xfId="0" applyNumberFormat="1" applyFont="1" applyBorder="1" applyAlignment="1">
      <alignment horizontal="left" vertical="center" wrapText="1"/>
    </xf>
    <xf numFmtId="170" fontId="218" fillId="0" borderId="0" xfId="455" applyNumberFormat="1" applyFont="1" applyAlignment="1">
      <alignment horizontal="center" vertical="center" wrapText="1"/>
    </xf>
    <xf numFmtId="170" fontId="229" fillId="0" borderId="0" xfId="455" applyNumberFormat="1" applyFont="1" applyAlignment="1">
      <alignment horizontal="center" vertical="center" wrapText="1"/>
    </xf>
    <xf numFmtId="170" fontId="196" fillId="0" borderId="0" xfId="455" applyNumberFormat="1" applyFont="1" applyBorder="1" applyAlignment="1">
      <alignment horizontal="center" vertical="center" wrapText="1"/>
    </xf>
    <xf numFmtId="168" fontId="196" fillId="0" borderId="14" xfId="713" applyNumberFormat="1" applyFont="1" applyBorder="1" applyAlignment="1">
      <alignment horizontal="left" vertical="center" wrapText="1"/>
    </xf>
    <xf numFmtId="49" fontId="14" fillId="0" borderId="14" xfId="711" applyNumberFormat="1" applyFont="1" applyBorder="1" applyAlignment="1">
      <alignment wrapText="1"/>
    </xf>
    <xf numFmtId="49" fontId="14" fillId="0" borderId="14" xfId="711" applyNumberFormat="1" applyFont="1" applyBorder="1" applyAlignment="1">
      <alignment horizontal="justify" vertical="justify" wrapText="1"/>
    </xf>
    <xf numFmtId="261" fontId="190" fillId="0" borderId="13" xfId="455" applyNumberFormat="1" applyFont="1" applyBorder="1" applyAlignment="1">
      <alignment vertical="center" wrapText="1"/>
    </xf>
    <xf numFmtId="170" fontId="50" fillId="0" borderId="14" xfId="455" applyNumberFormat="1" applyFont="1" applyBorder="1" applyAlignment="1">
      <alignment vertical="center" wrapText="1"/>
    </xf>
    <xf numFmtId="170" fontId="195" fillId="0" borderId="14" xfId="455" applyNumberFormat="1" applyFont="1" applyBorder="1" applyAlignment="1">
      <alignment vertical="center" wrapText="1"/>
    </xf>
    <xf numFmtId="261" fontId="15" fillId="0" borderId="14" xfId="0" applyNumberFormat="1" applyFont="1" applyBorder="1" applyAlignment="1">
      <alignment vertical="center" wrapText="1"/>
    </xf>
    <xf numFmtId="261" fontId="220" fillId="0" borderId="0" xfId="0" applyNumberFormat="1" applyFont="1" applyAlignment="1">
      <alignment vertical="center" wrapText="1"/>
    </xf>
    <xf numFmtId="170" fontId="224" fillId="0" borderId="0" xfId="455" applyNumberFormat="1" applyFont="1" applyAlignment="1">
      <alignment vertical="center" wrapText="1"/>
    </xf>
    <xf numFmtId="170" fontId="232" fillId="0" borderId="0" xfId="455" applyNumberFormat="1" applyFont="1" applyAlignment="1">
      <alignment vertical="center" wrapText="1"/>
    </xf>
    <xf numFmtId="0" fontId="224" fillId="0" borderId="0" xfId="0" applyFont="1" applyAlignment="1">
      <alignment vertical="center" wrapText="1"/>
    </xf>
    <xf numFmtId="170" fontId="202" fillId="0" borderId="14" xfId="455" applyNumberFormat="1" applyFont="1" applyBorder="1" applyAlignment="1">
      <alignment vertical="center" wrapText="1"/>
    </xf>
    <xf numFmtId="168" fontId="193" fillId="0" borderId="14" xfId="710" applyNumberFormat="1" applyFont="1" applyBorder="1" applyAlignment="1">
      <alignment horizontal="center"/>
    </xf>
    <xf numFmtId="170" fontId="203" fillId="0" borderId="14" xfId="455" applyNumberFormat="1" applyFont="1" applyBorder="1" applyAlignment="1">
      <alignment horizontal="center" vertical="center" wrapText="1"/>
    </xf>
    <xf numFmtId="261" fontId="203" fillId="0" borderId="14" xfId="455" applyNumberFormat="1" applyFont="1" applyBorder="1" applyAlignment="1">
      <alignment horizontal="center" vertical="center" wrapText="1"/>
    </xf>
    <xf numFmtId="261" fontId="233" fillId="0" borderId="14" xfId="455" applyNumberFormat="1" applyFont="1" applyBorder="1" applyAlignment="1">
      <alignment vertical="center" wrapText="1"/>
    </xf>
    <xf numFmtId="170" fontId="218" fillId="0" borderId="0" xfId="0" applyNumberFormat="1" applyFont="1" applyAlignment="1">
      <alignment vertical="center" wrapText="1"/>
    </xf>
    <xf numFmtId="261" fontId="227" fillId="0" borderId="14" xfId="455" applyNumberFormat="1" applyFont="1" applyBorder="1" applyAlignment="1">
      <alignment vertical="center" wrapText="1"/>
    </xf>
    <xf numFmtId="168" fontId="222" fillId="0" borderId="14" xfId="713" applyNumberFormat="1" applyFont="1" applyFill="1" applyBorder="1" applyAlignment="1">
      <alignment horizontal="left" wrapText="1"/>
    </xf>
    <xf numFmtId="0" fontId="199" fillId="0" borderId="0" xfId="0" applyFont="1" applyAlignment="1">
      <alignment horizontal="center" vertical="center" wrapText="1"/>
    </xf>
    <xf numFmtId="0" fontId="217" fillId="0" borderId="0" xfId="0" applyFont="1" applyAlignment="1">
      <alignment horizontal="center" vertical="center" wrapText="1"/>
    </xf>
    <xf numFmtId="170" fontId="220" fillId="0" borderId="0" xfId="455" applyNumberFormat="1" applyFont="1" applyBorder="1" applyAlignment="1">
      <alignment horizontal="center" vertical="center" wrapText="1"/>
    </xf>
    <xf numFmtId="170" fontId="219" fillId="0" borderId="0" xfId="455" applyNumberFormat="1" applyFont="1" applyBorder="1" applyAlignment="1">
      <alignment horizontal="center" vertical="center" wrapText="1"/>
    </xf>
    <xf numFmtId="170" fontId="229" fillId="28" borderId="0" xfId="455" applyNumberFormat="1" applyFont="1" applyFill="1" applyBorder="1" applyAlignment="1">
      <alignment horizontal="center" vertical="center" wrapText="1"/>
    </xf>
    <xf numFmtId="261" fontId="220" fillId="0" borderId="0" xfId="0" applyNumberFormat="1" applyFont="1" applyBorder="1" applyAlignment="1">
      <alignment horizontal="center" vertical="center" wrapText="1"/>
    </xf>
    <xf numFmtId="0" fontId="219" fillId="0" borderId="0" xfId="0" applyFont="1" applyBorder="1" applyAlignment="1">
      <alignment horizontal="center" vertical="center" wrapText="1"/>
    </xf>
    <xf numFmtId="261" fontId="190" fillId="0" borderId="0" xfId="455" applyNumberFormat="1" applyFont="1" applyBorder="1" applyAlignment="1">
      <alignment vertical="center" wrapText="1"/>
    </xf>
    <xf numFmtId="261" fontId="225" fillId="0" borderId="0" xfId="455" applyNumberFormat="1" applyFont="1" applyBorder="1" applyAlignment="1">
      <alignment vertical="center" wrapText="1"/>
    </xf>
    <xf numFmtId="261" fontId="202" fillId="0" borderId="0" xfId="455" applyNumberFormat="1" applyFont="1" applyBorder="1" applyAlignment="1">
      <alignment vertical="center" wrapText="1"/>
    </xf>
    <xf numFmtId="261" fontId="203" fillId="0" borderId="0" xfId="455" applyNumberFormat="1" applyFont="1" applyBorder="1" applyAlignment="1">
      <alignment vertical="center" wrapText="1"/>
    </xf>
    <xf numFmtId="170" fontId="203" fillId="0" borderId="0" xfId="455" applyNumberFormat="1" applyFont="1" applyBorder="1" applyAlignment="1">
      <alignment vertical="center" wrapText="1"/>
    </xf>
    <xf numFmtId="170" fontId="202" fillId="0" borderId="0" xfId="455" applyNumberFormat="1" applyFont="1" applyBorder="1" applyAlignment="1">
      <alignment vertical="center" wrapText="1"/>
    </xf>
    <xf numFmtId="170" fontId="190" fillId="0" borderId="0" xfId="455" applyNumberFormat="1" applyFont="1" applyBorder="1" applyAlignment="1">
      <alignment vertical="center" wrapText="1"/>
    </xf>
    <xf numFmtId="170" fontId="225" fillId="0" borderId="0" xfId="455" applyNumberFormat="1" applyFont="1" applyBorder="1" applyAlignment="1">
      <alignment vertical="center" wrapText="1"/>
    </xf>
    <xf numFmtId="170" fontId="219" fillId="0" borderId="0" xfId="0" applyNumberFormat="1" applyFont="1" applyBorder="1" applyAlignment="1">
      <alignment horizontal="center" vertical="center" wrapText="1"/>
    </xf>
    <xf numFmtId="261" fontId="219" fillId="0" borderId="0" xfId="0" applyNumberFormat="1" applyFont="1" applyBorder="1" applyAlignment="1">
      <alignment horizontal="center" vertical="center" wrapText="1"/>
    </xf>
    <xf numFmtId="261" fontId="223" fillId="0" borderId="0" xfId="455" applyNumberFormat="1" applyFont="1" applyBorder="1" applyAlignment="1">
      <alignment vertical="center" wrapText="1"/>
    </xf>
    <xf numFmtId="261" fontId="225" fillId="0" borderId="19" xfId="455" applyNumberFormat="1" applyFont="1" applyBorder="1" applyAlignment="1">
      <alignment vertical="center" wrapText="1"/>
    </xf>
    <xf numFmtId="261" fontId="202" fillId="0" borderId="19" xfId="455" applyNumberFormat="1" applyFont="1" applyBorder="1" applyAlignment="1">
      <alignment vertical="center" wrapText="1"/>
    </xf>
    <xf numFmtId="261" fontId="203" fillId="0" borderId="19" xfId="455" applyNumberFormat="1" applyFont="1" applyBorder="1" applyAlignment="1">
      <alignment vertical="center" wrapText="1"/>
    </xf>
    <xf numFmtId="260" fontId="203" fillId="0" borderId="19" xfId="455" applyNumberFormat="1" applyFont="1" applyBorder="1" applyAlignment="1">
      <alignment vertical="center" wrapText="1"/>
    </xf>
    <xf numFmtId="170" fontId="223" fillId="0" borderId="19" xfId="455" applyNumberFormat="1" applyFont="1" applyBorder="1" applyAlignment="1">
      <alignment vertical="center" wrapText="1"/>
    </xf>
    <xf numFmtId="170" fontId="203" fillId="0" borderId="19" xfId="455" applyNumberFormat="1" applyFont="1" applyBorder="1" applyAlignment="1">
      <alignment vertical="center" wrapText="1"/>
    </xf>
    <xf numFmtId="260" fontId="223" fillId="0" borderId="19" xfId="455" applyNumberFormat="1" applyFont="1" applyBorder="1" applyAlignment="1">
      <alignment vertical="center" wrapText="1"/>
    </xf>
    <xf numFmtId="261" fontId="223" fillId="0" borderId="19" xfId="455" applyNumberFormat="1" applyFont="1" applyBorder="1" applyAlignment="1">
      <alignment vertical="center" wrapText="1"/>
    </xf>
    <xf numFmtId="170" fontId="203" fillId="0" borderId="19" xfId="455" applyNumberFormat="1" applyFont="1" applyBorder="1" applyAlignment="1">
      <alignment horizontal="center" vertical="center" wrapText="1"/>
    </xf>
    <xf numFmtId="170" fontId="223" fillId="0" borderId="19" xfId="455" applyNumberFormat="1" applyFont="1" applyBorder="1" applyAlignment="1">
      <alignment horizontal="center" vertical="center" wrapText="1"/>
    </xf>
    <xf numFmtId="261" fontId="203" fillId="0" borderId="19" xfId="455" applyNumberFormat="1" applyFont="1" applyBorder="1" applyAlignment="1">
      <alignment horizontal="center" vertical="center" wrapText="1"/>
    </xf>
    <xf numFmtId="261" fontId="223" fillId="0" borderId="19" xfId="455" applyNumberFormat="1" applyFont="1" applyBorder="1" applyAlignment="1">
      <alignment horizontal="center" vertical="center" wrapText="1"/>
    </xf>
    <xf numFmtId="170" fontId="202" fillId="0" borderId="19" xfId="455" applyNumberFormat="1" applyFont="1" applyBorder="1" applyAlignment="1">
      <alignment vertical="center" wrapText="1"/>
    </xf>
    <xf numFmtId="0" fontId="44" fillId="0" borderId="23" xfId="0" applyFont="1" applyBorder="1" applyAlignment="1">
      <alignment horizontal="center" vertical="center" wrapText="1"/>
    </xf>
    <xf numFmtId="261" fontId="190" fillId="0" borderId="23" xfId="455" applyNumberFormat="1" applyFont="1" applyBorder="1" applyAlignment="1">
      <alignment vertical="center" wrapText="1"/>
    </xf>
    <xf numFmtId="0" fontId="15" fillId="0" borderId="13" xfId="0" applyFont="1" applyBorder="1" applyAlignment="1">
      <alignment horizontal="center" vertical="center" wrapText="1"/>
    </xf>
    <xf numFmtId="0" fontId="15" fillId="0" borderId="13" xfId="0" applyFont="1" applyBorder="1" applyAlignment="1">
      <alignment vertical="center" wrapText="1"/>
    </xf>
    <xf numFmtId="261" fontId="225" fillId="0" borderId="13" xfId="455" applyNumberFormat="1" applyFont="1" applyBorder="1" applyAlignment="1">
      <alignment vertical="center" wrapText="1"/>
    </xf>
    <xf numFmtId="0" fontId="234" fillId="0" borderId="0" xfId="0" applyFont="1" applyAlignment="1">
      <alignment horizontal="center" vertical="center" wrapText="1"/>
    </xf>
    <xf numFmtId="0" fontId="235" fillId="0" borderId="0" xfId="0" applyFont="1" applyAlignment="1">
      <alignment horizontal="center" vertical="center" wrapText="1"/>
    </xf>
    <xf numFmtId="261" fontId="230" fillId="0" borderId="0" xfId="0" applyNumberFormat="1" applyFont="1" applyBorder="1" applyAlignment="1">
      <alignment horizontal="center" vertical="center" wrapText="1"/>
    </xf>
    <xf numFmtId="261" fontId="229" fillId="0" borderId="0" xfId="0" applyNumberFormat="1" applyFont="1" applyAlignment="1">
      <alignment vertical="center" wrapText="1"/>
    </xf>
    <xf numFmtId="170" fontId="227" fillId="0" borderId="14" xfId="455" applyNumberFormat="1" applyFont="1" applyBorder="1" applyAlignment="1">
      <alignment vertical="center" wrapText="1"/>
    </xf>
    <xf numFmtId="170" fontId="15" fillId="0" borderId="13" xfId="0" applyNumberFormat="1" applyFont="1" applyBorder="1" applyAlignment="1">
      <alignment vertical="center" wrapText="1"/>
    </xf>
    <xf numFmtId="170" fontId="195" fillId="0" borderId="13" xfId="455" applyNumberFormat="1" applyFont="1" applyBorder="1" applyAlignment="1">
      <alignment vertical="center" wrapText="1"/>
    </xf>
    <xf numFmtId="170" fontId="233" fillId="0" borderId="14" xfId="455" applyNumberFormat="1" applyFont="1" applyBorder="1" applyAlignment="1">
      <alignment vertical="center" wrapText="1"/>
    </xf>
    <xf numFmtId="170" fontId="238" fillId="0" borderId="14" xfId="455" applyNumberFormat="1" applyFont="1" applyBorder="1" applyAlignment="1">
      <alignment vertical="center" wrapText="1"/>
    </xf>
    <xf numFmtId="170" fontId="233" fillId="0" borderId="14" xfId="455" applyNumberFormat="1" applyFont="1" applyBorder="1" applyAlignment="1">
      <alignment horizontal="center" vertical="center" wrapText="1"/>
    </xf>
    <xf numFmtId="170" fontId="237" fillId="0" borderId="14" xfId="455" applyNumberFormat="1" applyFont="1" applyBorder="1" applyAlignment="1">
      <alignment vertical="center" wrapText="1"/>
    </xf>
    <xf numFmtId="0" fontId="218" fillId="0" borderId="1" xfId="0" applyFont="1" applyBorder="1" applyAlignment="1">
      <alignment vertical="center" wrapText="1"/>
    </xf>
    <xf numFmtId="0" fontId="15" fillId="0" borderId="14" xfId="0" applyFont="1" applyBorder="1" applyAlignment="1">
      <alignment horizontal="center" vertical="center" wrapText="1"/>
    </xf>
    <xf numFmtId="0" fontId="218" fillId="0" borderId="1" xfId="0" applyFont="1" applyBorder="1" applyAlignment="1">
      <alignment horizontal="center" vertical="center" wrapText="1"/>
    </xf>
    <xf numFmtId="261" fontId="203" fillId="0" borderId="0" xfId="455" applyNumberFormat="1" applyFont="1" applyBorder="1" applyAlignment="1">
      <alignment horizontal="center" vertical="center" wrapText="1"/>
    </xf>
    <xf numFmtId="261" fontId="223" fillId="0" borderId="0" xfId="455" applyNumberFormat="1" applyFont="1" applyBorder="1" applyAlignment="1">
      <alignment horizontal="center" vertical="center" wrapText="1"/>
    </xf>
    <xf numFmtId="168" fontId="50" fillId="0" borderId="0" xfId="710" applyNumberFormat="1" applyFont="1" applyBorder="1" applyAlignment="1">
      <alignment horizontal="center"/>
    </xf>
    <xf numFmtId="261" fontId="202" fillId="0" borderId="0" xfId="0" applyNumberFormat="1" applyFont="1" applyBorder="1" applyAlignment="1">
      <alignment vertical="center" wrapText="1"/>
    </xf>
    <xf numFmtId="0" fontId="218" fillId="0" borderId="0" xfId="0" applyFont="1" applyBorder="1" applyAlignment="1">
      <alignment vertical="center" wrapText="1"/>
    </xf>
    <xf numFmtId="261" fontId="236" fillId="0" borderId="13" xfId="455" applyNumberFormat="1" applyFont="1" applyBorder="1" applyAlignment="1">
      <alignment vertical="center" wrapText="1"/>
    </xf>
    <xf numFmtId="0" fontId="218" fillId="0" borderId="5" xfId="0" applyFont="1" applyBorder="1" applyAlignment="1">
      <alignment horizontal="center" vertical="center" wrapText="1"/>
    </xf>
    <xf numFmtId="0" fontId="217" fillId="0" borderId="0" xfId="0" applyFont="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170" fontId="50" fillId="0" borderId="14" xfId="455" applyNumberFormat="1" applyFont="1" applyBorder="1" applyAlignment="1">
      <alignment horizontal="center"/>
    </xf>
    <xf numFmtId="170" fontId="193" fillId="0" borderId="14" xfId="455" applyNumberFormat="1" applyFont="1" applyBorder="1" applyAlignment="1">
      <alignment horizontal="center"/>
    </xf>
    <xf numFmtId="170" fontId="226" fillId="0" borderId="56" xfId="455" applyNumberFormat="1" applyFont="1" applyBorder="1" applyAlignment="1">
      <alignment vertical="center" wrapText="1"/>
    </xf>
    <xf numFmtId="170" fontId="226" fillId="0" borderId="0" xfId="455" applyNumberFormat="1" applyFont="1" applyAlignment="1">
      <alignment vertical="center" wrapText="1"/>
    </xf>
    <xf numFmtId="170" fontId="239" fillId="0" borderId="0" xfId="455" applyNumberFormat="1" applyFont="1" applyAlignment="1">
      <alignment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219" fillId="0" borderId="1" xfId="0" applyFont="1" applyBorder="1" applyAlignment="1">
      <alignment vertical="center" wrapText="1"/>
    </xf>
    <xf numFmtId="261" fontId="218" fillId="0" borderId="1" xfId="0" applyNumberFormat="1" applyFont="1" applyBorder="1" applyAlignment="1">
      <alignment horizontal="center" vertical="center" wrapText="1"/>
    </xf>
    <xf numFmtId="170" fontId="237" fillId="0" borderId="13" xfId="455" applyNumberFormat="1" applyFont="1" applyBorder="1" applyAlignment="1">
      <alignment vertical="center" wrapText="1"/>
    </xf>
    <xf numFmtId="0" fontId="218" fillId="0" borderId="0" xfId="0" applyFont="1" applyAlignment="1">
      <alignment horizontal="center" vertical="center" wrapText="1"/>
    </xf>
    <xf numFmtId="0" fontId="220" fillId="0" borderId="23" xfId="0" applyFont="1" applyBorder="1" applyAlignment="1">
      <alignment horizontal="center" vertical="center" wrapText="1"/>
    </xf>
    <xf numFmtId="0" fontId="231" fillId="0" borderId="0" xfId="0" applyFont="1" applyAlignment="1">
      <alignment horizontal="center" vertical="center" wrapText="1"/>
    </xf>
    <xf numFmtId="261" fontId="229" fillId="0" borderId="1" xfId="0" applyNumberFormat="1" applyFont="1" applyBorder="1" applyAlignment="1">
      <alignment horizontal="center" vertical="center" wrapText="1"/>
    </xf>
    <xf numFmtId="37" fontId="237" fillId="0" borderId="14" xfId="455" applyNumberFormat="1" applyFont="1" applyBorder="1" applyAlignment="1">
      <alignment vertical="center" wrapText="1"/>
    </xf>
    <xf numFmtId="170" fontId="239" fillId="0" borderId="56" xfId="455" applyNumberFormat="1" applyFont="1" applyBorder="1" applyAlignment="1">
      <alignment vertical="center" wrapText="1"/>
    </xf>
    <xf numFmtId="0" fontId="229" fillId="0" borderId="0" xfId="0" applyFont="1" applyAlignment="1">
      <alignment vertical="center" wrapText="1"/>
    </xf>
    <xf numFmtId="0" fontId="240" fillId="0" borderId="0" xfId="0" applyFont="1" applyAlignment="1">
      <alignment vertical="center"/>
    </xf>
    <xf numFmtId="0" fontId="242" fillId="0" borderId="75" xfId="0" applyFont="1" applyBorder="1" applyAlignment="1">
      <alignment horizontal="center" vertical="center" wrapText="1"/>
    </xf>
    <xf numFmtId="0" fontId="245" fillId="0" borderId="0" xfId="0" applyFont="1" applyAlignment="1">
      <alignment vertical="center"/>
    </xf>
    <xf numFmtId="0" fontId="248" fillId="0" borderId="61" xfId="0" applyFont="1" applyBorder="1" applyAlignment="1">
      <alignment vertical="center" wrapText="1"/>
    </xf>
    <xf numFmtId="0" fontId="253" fillId="0" borderId="0" xfId="0" applyFont="1" applyAlignment="1">
      <alignment vertical="center"/>
    </xf>
    <xf numFmtId="170" fontId="253" fillId="0" borderId="0" xfId="0" applyNumberFormat="1" applyFont="1" applyAlignment="1">
      <alignment vertical="center"/>
    </xf>
    <xf numFmtId="0" fontId="242" fillId="0" borderId="73" xfId="0" applyFont="1" applyBorder="1" applyAlignment="1">
      <alignment horizontal="center" vertical="center" wrapText="1"/>
    </xf>
    <xf numFmtId="0" fontId="254" fillId="0" borderId="14" xfId="0" applyFont="1" applyBorder="1" applyAlignment="1">
      <alignment horizontal="center" vertical="center" wrapText="1"/>
    </xf>
    <xf numFmtId="170" fontId="254" fillId="0" borderId="14" xfId="0" applyNumberFormat="1" applyFont="1" applyBorder="1" applyAlignment="1">
      <alignment vertical="center" wrapText="1"/>
    </xf>
    <xf numFmtId="0" fontId="240" fillId="0" borderId="0" xfId="0" applyFont="1"/>
    <xf numFmtId="0" fontId="242" fillId="0" borderId="75" xfId="0" applyFont="1" applyBorder="1" applyAlignment="1">
      <alignment horizontal="center" wrapText="1"/>
    </xf>
    <xf numFmtId="0" fontId="242" fillId="0" borderId="74" xfId="0" applyFont="1" applyBorder="1" applyAlignment="1">
      <alignment horizontal="center" wrapText="1"/>
    </xf>
    <xf numFmtId="0" fontId="242" fillId="0" borderId="60" xfId="0" applyFont="1" applyBorder="1" applyAlignment="1">
      <alignment horizontal="center" wrapText="1"/>
    </xf>
    <xf numFmtId="0" fontId="242" fillId="0" borderId="60" xfId="0" applyFont="1" applyBorder="1" applyAlignment="1">
      <alignment wrapText="1"/>
    </xf>
    <xf numFmtId="0" fontId="242" fillId="0" borderId="61" xfId="0" applyFont="1" applyBorder="1" applyAlignment="1">
      <alignment horizontal="center" wrapText="1"/>
    </xf>
    <xf numFmtId="0" fontId="242" fillId="0" borderId="61" xfId="0" applyFont="1" applyBorder="1" applyAlignment="1">
      <alignment wrapText="1"/>
    </xf>
    <xf numFmtId="0" fontId="255" fillId="0" borderId="61" xfId="0" applyFont="1" applyBorder="1" applyAlignment="1">
      <alignment wrapText="1"/>
    </xf>
    <xf numFmtId="0" fontId="255" fillId="0" borderId="61" xfId="0" applyFont="1" applyBorder="1" applyAlignment="1">
      <alignment horizontal="center" wrapText="1"/>
    </xf>
    <xf numFmtId="0" fontId="242" fillId="0" borderId="62" xfId="0" applyFont="1" applyBorder="1" applyAlignment="1">
      <alignment horizontal="center" wrapText="1"/>
    </xf>
    <xf numFmtId="0" fontId="242" fillId="0" borderId="62" xfId="0" applyFont="1" applyBorder="1" applyAlignment="1">
      <alignment wrapText="1"/>
    </xf>
    <xf numFmtId="0" fontId="242" fillId="0" borderId="60" xfId="0" applyFont="1" applyBorder="1" applyAlignment="1">
      <alignment horizontal="center" vertical="center" wrapText="1"/>
    </xf>
    <xf numFmtId="0" fontId="242" fillId="0" borderId="60" xfId="0" applyFont="1" applyBorder="1" applyAlignment="1">
      <alignment vertical="center" wrapText="1"/>
    </xf>
    <xf numFmtId="0" fontId="242" fillId="0" borderId="61" xfId="0" applyFont="1" applyBorder="1" applyAlignment="1">
      <alignment horizontal="center" vertical="center" wrapText="1"/>
    </xf>
    <xf numFmtId="0" fontId="242" fillId="0" borderId="61" xfId="0" applyFont="1" applyBorder="1" applyAlignment="1">
      <alignment vertical="center" wrapText="1"/>
    </xf>
    <xf numFmtId="0" fontId="255" fillId="0" borderId="61" xfId="0" applyFont="1" applyBorder="1" applyAlignment="1">
      <alignment horizontal="center" vertical="center" wrapText="1"/>
    </xf>
    <xf numFmtId="0" fontId="255" fillId="0" borderId="61" xfId="0" applyFont="1" applyBorder="1" applyAlignment="1">
      <alignment vertical="center" wrapText="1"/>
    </xf>
    <xf numFmtId="0" fontId="255" fillId="0" borderId="62" xfId="0" applyFont="1" applyBorder="1" applyAlignment="1">
      <alignment horizontal="center" vertical="center" wrapText="1"/>
    </xf>
    <xf numFmtId="0" fontId="255" fillId="0" borderId="0" xfId="0" applyFont="1" applyAlignment="1">
      <alignment vertical="center"/>
    </xf>
    <xf numFmtId="0" fontId="255" fillId="0" borderId="0" xfId="0" applyFont="1"/>
    <xf numFmtId="0" fontId="257" fillId="0" borderId="0" xfId="0" applyFont="1" applyAlignment="1">
      <alignment vertical="center"/>
    </xf>
    <xf numFmtId="0" fontId="242" fillId="0" borderId="28" xfId="0" applyFont="1" applyBorder="1" applyAlignment="1">
      <alignment horizontal="center" vertical="center" wrapText="1"/>
    </xf>
    <xf numFmtId="0" fontId="255" fillId="0" borderId="62" xfId="0" applyFont="1" applyBorder="1" applyAlignment="1">
      <alignment vertical="center" wrapText="1"/>
    </xf>
    <xf numFmtId="0" fontId="259" fillId="0" borderId="75" xfId="0" applyFont="1" applyBorder="1" applyAlignment="1">
      <alignment horizontal="center" vertical="center" wrapText="1"/>
    </xf>
    <xf numFmtId="0" fontId="242" fillId="0" borderId="14" xfId="0" applyFont="1" applyBorder="1" applyAlignment="1">
      <alignment horizontal="center" wrapText="1"/>
    </xf>
    <xf numFmtId="0" fontId="242" fillId="0" borderId="14" xfId="0" applyFont="1" applyBorder="1" applyAlignment="1">
      <alignment wrapText="1"/>
    </xf>
    <xf numFmtId="0" fontId="255" fillId="0" borderId="14" xfId="0" applyFont="1" applyBorder="1" applyAlignment="1">
      <alignment wrapText="1"/>
    </xf>
    <xf numFmtId="0" fontId="255" fillId="0" borderId="14" xfId="0" applyFont="1" applyBorder="1" applyAlignment="1">
      <alignment horizontal="center" wrapText="1"/>
    </xf>
    <xf numFmtId="0" fontId="242" fillId="0" borderId="56" xfId="0" applyFont="1" applyBorder="1" applyAlignment="1">
      <alignment horizontal="center" wrapText="1"/>
    </xf>
    <xf numFmtId="0" fontId="242" fillId="0" borderId="56" xfId="0" applyFont="1" applyBorder="1" applyAlignment="1">
      <alignment wrapText="1"/>
    </xf>
    <xf numFmtId="170" fontId="233" fillId="0" borderId="14" xfId="455" applyNumberFormat="1" applyFont="1" applyBorder="1" applyAlignment="1">
      <alignment horizontal="center"/>
    </xf>
    <xf numFmtId="170" fontId="263" fillId="0" borderId="14" xfId="455" applyNumberFormat="1" applyFont="1" applyBorder="1" applyAlignment="1">
      <alignment horizontal="center"/>
    </xf>
    <xf numFmtId="170" fontId="240" fillId="0" borderId="0" xfId="0" applyNumberFormat="1" applyFont="1" applyAlignment="1">
      <alignment vertical="center"/>
    </xf>
    <xf numFmtId="170" fontId="245" fillId="0" borderId="0" xfId="0" applyNumberFormat="1" applyFont="1" applyAlignment="1">
      <alignment vertical="center"/>
    </xf>
    <xf numFmtId="170" fontId="249" fillId="0" borderId="14" xfId="455" applyNumberFormat="1" applyFont="1" applyBorder="1" applyAlignment="1">
      <alignment wrapText="1"/>
    </xf>
    <xf numFmtId="170" fontId="252" fillId="0" borderId="14" xfId="455" applyNumberFormat="1" applyFont="1" applyBorder="1" applyAlignment="1">
      <alignment wrapText="1"/>
    </xf>
    <xf numFmtId="0" fontId="253" fillId="0" borderId="0" xfId="0" applyFont="1"/>
    <xf numFmtId="0" fontId="264" fillId="0" borderId="0" xfId="0" applyFont="1" applyAlignment="1">
      <alignment vertical="center"/>
    </xf>
    <xf numFmtId="0" fontId="265" fillId="0" borderId="0" xfId="0" applyFont="1" applyAlignment="1">
      <alignment vertical="center"/>
    </xf>
    <xf numFmtId="170" fontId="229" fillId="0" borderId="0" xfId="0" applyNumberFormat="1" applyFont="1" applyAlignment="1">
      <alignment vertical="center"/>
    </xf>
    <xf numFmtId="170" fontId="265" fillId="0" borderId="0" xfId="0" applyNumberFormat="1" applyFont="1" applyAlignment="1">
      <alignment vertical="center"/>
    </xf>
    <xf numFmtId="170" fontId="220" fillId="0" borderId="7" xfId="0" applyNumberFormat="1" applyFont="1" applyBorder="1" applyAlignment="1">
      <alignment horizontal="center" vertical="center" wrapText="1"/>
    </xf>
    <xf numFmtId="0" fontId="242" fillId="0" borderId="13" xfId="0" applyFont="1" applyBorder="1" applyAlignment="1">
      <alignment horizontal="center" vertical="center" wrapText="1"/>
    </xf>
    <xf numFmtId="0" fontId="242" fillId="0" borderId="13" xfId="0" applyFont="1" applyBorder="1" applyAlignment="1">
      <alignment vertical="center" wrapText="1"/>
    </xf>
    <xf numFmtId="170" fontId="252" fillId="0" borderId="13" xfId="0" applyNumberFormat="1" applyFont="1" applyBorder="1" applyAlignment="1">
      <alignment horizontal="center" vertical="center" wrapText="1"/>
    </xf>
    <xf numFmtId="0" fontId="242" fillId="0" borderId="14" xfId="0" applyFont="1" applyBorder="1" applyAlignment="1">
      <alignment horizontal="center" vertical="center" wrapText="1"/>
    </xf>
    <xf numFmtId="0" fontId="242" fillId="0" borderId="14" xfId="0" applyFont="1" applyBorder="1" applyAlignment="1">
      <alignment vertical="center" wrapText="1"/>
    </xf>
    <xf numFmtId="170" fontId="252" fillId="0" borderId="14" xfId="455" applyNumberFormat="1" applyFont="1" applyBorder="1" applyAlignment="1">
      <alignment horizontal="center" vertical="center" wrapText="1"/>
    </xf>
    <xf numFmtId="0" fontId="255" fillId="0" borderId="14" xfId="0" applyFont="1" applyBorder="1" applyAlignment="1">
      <alignment horizontal="center" vertical="center" wrapText="1"/>
    </xf>
    <xf numFmtId="0" fontId="255" fillId="0" borderId="14" xfId="0" applyFont="1" applyBorder="1" applyAlignment="1">
      <alignment vertical="center" wrapText="1"/>
    </xf>
    <xf numFmtId="170" fontId="249" fillId="0" borderId="14" xfId="455" applyNumberFormat="1" applyFont="1" applyBorder="1" applyAlignment="1">
      <alignment horizontal="center" vertical="center" wrapText="1"/>
    </xf>
    <xf numFmtId="0" fontId="243" fillId="0" borderId="14" xfId="0" applyFont="1" applyBorder="1" applyAlignment="1">
      <alignment vertical="center" wrapText="1"/>
    </xf>
    <xf numFmtId="0" fontId="247" fillId="0" borderId="14" xfId="0" applyFont="1" applyBorder="1" applyAlignment="1">
      <alignment horizontal="center" vertical="center" wrapText="1"/>
    </xf>
    <xf numFmtId="0" fontId="246" fillId="0" borderId="14" xfId="0" applyFont="1" applyBorder="1" applyAlignment="1">
      <alignment vertical="center" wrapText="1"/>
    </xf>
    <xf numFmtId="0" fontId="248" fillId="0" borderId="14" xfId="0" applyFont="1" applyBorder="1" applyAlignment="1">
      <alignment vertical="center" wrapText="1"/>
    </xf>
    <xf numFmtId="0" fontId="240" fillId="0" borderId="56" xfId="0" applyFont="1" applyBorder="1" applyAlignment="1">
      <alignment vertical="center"/>
    </xf>
    <xf numFmtId="0" fontId="14" fillId="28" borderId="14" xfId="0" applyFont="1" applyFill="1" applyBorder="1" applyAlignment="1">
      <alignment horizontal="center" vertical="center" wrapText="1"/>
    </xf>
    <xf numFmtId="170" fontId="14" fillId="28" borderId="14" xfId="0" applyNumberFormat="1" applyFont="1" applyFill="1" applyBorder="1" applyAlignment="1">
      <alignment vertical="center" wrapText="1"/>
    </xf>
    <xf numFmtId="170" fontId="50" fillId="28" borderId="14" xfId="455" applyNumberFormat="1" applyFont="1" applyFill="1" applyBorder="1" applyAlignment="1">
      <alignment vertical="center" wrapText="1"/>
    </xf>
    <xf numFmtId="170" fontId="203" fillId="28" borderId="14" xfId="455" applyNumberFormat="1" applyFont="1" applyFill="1" applyBorder="1" applyAlignment="1">
      <alignment vertical="center" wrapText="1"/>
    </xf>
    <xf numFmtId="170" fontId="233" fillId="28" borderId="14" xfId="455" applyNumberFormat="1" applyFont="1" applyFill="1" applyBorder="1" applyAlignment="1">
      <alignment vertical="center" wrapText="1"/>
    </xf>
    <xf numFmtId="170" fontId="237" fillId="28" borderId="14" xfId="455" applyNumberFormat="1" applyFont="1" applyFill="1" applyBorder="1" applyAlignment="1">
      <alignment vertical="center" wrapText="1"/>
    </xf>
    <xf numFmtId="0" fontId="218" fillId="28" borderId="0" xfId="0" applyFont="1" applyFill="1" applyAlignment="1">
      <alignment vertical="center" wrapText="1"/>
    </xf>
    <xf numFmtId="170" fontId="203" fillId="28" borderId="14" xfId="455" applyNumberFormat="1" applyFont="1" applyFill="1" applyBorder="1" applyAlignment="1">
      <alignment horizontal="center" vertical="center" wrapText="1"/>
    </xf>
    <xf numFmtId="170" fontId="233" fillId="28" borderId="14" xfId="455" applyNumberFormat="1" applyFont="1" applyFill="1" applyBorder="1" applyAlignment="1">
      <alignment horizontal="center" vertical="center" wrapText="1"/>
    </xf>
    <xf numFmtId="0" fontId="218" fillId="28" borderId="0" xfId="0" applyFont="1" applyFill="1" applyAlignment="1">
      <alignment horizontal="center" vertical="center" wrapText="1"/>
    </xf>
    <xf numFmtId="0" fontId="246" fillId="0" borderId="14" xfId="0" applyFont="1" applyBorder="1" applyAlignment="1">
      <alignment horizontal="center" vertical="center" wrapText="1"/>
    </xf>
    <xf numFmtId="257" fontId="252" fillId="0" borderId="14" xfId="455" applyNumberFormat="1" applyFont="1" applyBorder="1" applyAlignment="1">
      <alignment horizontal="center" vertical="center" wrapText="1"/>
    </xf>
    <xf numFmtId="257" fontId="249" fillId="0" borderId="14" xfId="455" applyNumberFormat="1" applyFont="1" applyBorder="1" applyAlignment="1">
      <alignment horizontal="center" vertical="center" wrapText="1"/>
    </xf>
    <xf numFmtId="0" fontId="248" fillId="0" borderId="14" xfId="0" applyFont="1" applyBorder="1" applyAlignment="1">
      <alignment horizontal="center" vertical="center" wrapText="1"/>
    </xf>
    <xf numFmtId="170" fontId="250" fillId="0" borderId="14" xfId="455" applyNumberFormat="1" applyFont="1" applyBorder="1" applyAlignment="1">
      <alignment horizontal="center" vertical="center" wrapText="1"/>
    </xf>
    <xf numFmtId="257" fontId="250" fillId="0" borderId="14" xfId="455" applyNumberFormat="1" applyFont="1" applyBorder="1" applyAlignment="1">
      <alignment horizontal="center" vertical="center" wrapText="1"/>
    </xf>
    <xf numFmtId="170" fontId="249" fillId="0" borderId="61" xfId="455" applyNumberFormat="1" applyFont="1" applyBorder="1" applyAlignment="1">
      <alignment horizontal="center" wrapText="1"/>
    </xf>
    <xf numFmtId="170" fontId="252" fillId="0" borderId="60" xfId="455" applyNumberFormat="1" applyFont="1" applyBorder="1" applyAlignment="1">
      <alignment horizontal="center" wrapText="1"/>
    </xf>
    <xf numFmtId="170" fontId="252" fillId="0" borderId="61" xfId="455" applyNumberFormat="1" applyFont="1" applyBorder="1" applyAlignment="1">
      <alignment horizontal="center" wrapText="1"/>
    </xf>
    <xf numFmtId="170" fontId="252" fillId="0" borderId="62" xfId="455" applyNumberFormat="1" applyFont="1" applyBorder="1" applyAlignment="1">
      <alignment horizontal="center" wrapText="1"/>
    </xf>
    <xf numFmtId="261" fontId="41" fillId="0" borderId="14" xfId="0" applyNumberFormat="1" applyFont="1" applyBorder="1" applyAlignment="1">
      <alignment vertical="center" wrapText="1"/>
    </xf>
    <xf numFmtId="170" fontId="41" fillId="0" borderId="14" xfId="0" applyNumberFormat="1" applyFont="1" applyBorder="1" applyAlignment="1">
      <alignment vertical="center" wrapText="1"/>
    </xf>
    <xf numFmtId="0" fontId="230" fillId="0" borderId="0" xfId="0" applyFont="1" applyAlignment="1">
      <alignment vertical="center"/>
    </xf>
    <xf numFmtId="0" fontId="266" fillId="0" borderId="0" xfId="0" applyFont="1" applyAlignment="1">
      <alignment vertical="center"/>
    </xf>
    <xf numFmtId="0" fontId="229" fillId="0" borderId="0" xfId="0" applyFont="1" applyAlignment="1">
      <alignment vertical="center"/>
    </xf>
    <xf numFmtId="0" fontId="243" fillId="0" borderId="14" xfId="0" applyFont="1" applyBorder="1" applyAlignment="1">
      <alignment horizontal="center" wrapText="1"/>
    </xf>
    <xf numFmtId="0" fontId="243" fillId="0" borderId="14" xfId="0" applyFont="1" applyBorder="1" applyAlignment="1">
      <alignment wrapText="1"/>
    </xf>
    <xf numFmtId="170" fontId="250" fillId="0" borderId="14" xfId="455" applyNumberFormat="1" applyFont="1" applyBorder="1" applyAlignment="1">
      <alignment wrapText="1"/>
    </xf>
    <xf numFmtId="0" fontId="245" fillId="0" borderId="0" xfId="0" applyFont="1"/>
    <xf numFmtId="170" fontId="220" fillId="0" borderId="5" xfId="0" applyNumberFormat="1" applyFont="1" applyBorder="1" applyAlignment="1">
      <alignment horizontal="center" vertical="center" wrapText="1"/>
    </xf>
    <xf numFmtId="170" fontId="253" fillId="0" borderId="0" xfId="455" applyNumberFormat="1" applyFont="1" applyAlignment="1">
      <alignment vertical="center"/>
    </xf>
    <xf numFmtId="170" fontId="230" fillId="0" borderId="0" xfId="0" applyNumberFormat="1" applyFont="1" applyAlignment="1">
      <alignment vertical="center"/>
    </xf>
    <xf numFmtId="170" fontId="253" fillId="0" borderId="0" xfId="0" applyNumberFormat="1" applyFont="1"/>
    <xf numFmtId="170" fontId="237" fillId="0" borderId="14" xfId="455" applyNumberFormat="1" applyFont="1" applyBorder="1" applyAlignment="1">
      <alignment wrapText="1"/>
    </xf>
    <xf numFmtId="170" fontId="237" fillId="0" borderId="56" xfId="455" applyNumberFormat="1" applyFont="1" applyBorder="1" applyAlignment="1">
      <alignment wrapText="1"/>
    </xf>
    <xf numFmtId="170" fontId="240" fillId="0" borderId="0" xfId="0" applyNumberFormat="1" applyFont="1"/>
    <xf numFmtId="0" fontId="267" fillId="0" borderId="14" xfId="0" applyFont="1" applyBorder="1" applyAlignment="1">
      <alignment horizontal="center" vertical="center" wrapText="1"/>
    </xf>
    <xf numFmtId="170" fontId="267" fillId="0" borderId="14" xfId="0" applyNumberFormat="1" applyFont="1" applyBorder="1" applyAlignment="1">
      <alignment vertical="center" wrapText="1"/>
    </xf>
    <xf numFmtId="170" fontId="268" fillId="0" borderId="14" xfId="455" applyNumberFormat="1" applyFont="1" applyBorder="1" applyAlignment="1">
      <alignment vertical="center" wrapText="1"/>
    </xf>
    <xf numFmtId="170" fontId="269" fillId="0" borderId="14" xfId="455" applyNumberFormat="1" applyFont="1" applyBorder="1" applyAlignment="1">
      <alignment vertical="center" wrapText="1"/>
    </xf>
    <xf numFmtId="0" fontId="270" fillId="0" borderId="0" xfId="0" applyFont="1" applyAlignment="1">
      <alignment vertical="center" wrapText="1"/>
    </xf>
    <xf numFmtId="0" fontId="231" fillId="0" borderId="0" xfId="0" applyFont="1" applyAlignment="1">
      <alignment vertical="center"/>
    </xf>
    <xf numFmtId="0" fontId="271" fillId="0" borderId="0" xfId="0" applyFont="1" applyAlignment="1">
      <alignment vertical="center"/>
    </xf>
    <xf numFmtId="170" fontId="272" fillId="0" borderId="14" xfId="455" applyNumberFormat="1" applyFont="1" applyBorder="1" applyAlignment="1">
      <alignment horizontal="center" vertical="center" wrapText="1"/>
    </xf>
    <xf numFmtId="0" fontId="242" fillId="0" borderId="74" xfId="0" applyFont="1" applyBorder="1" applyAlignment="1">
      <alignment horizontal="center" vertical="center" wrapText="1"/>
    </xf>
    <xf numFmtId="0" fontId="242" fillId="0" borderId="73" xfId="0" applyFont="1" applyBorder="1" applyAlignment="1">
      <alignment horizontal="center" vertical="center" wrapText="1"/>
    </xf>
    <xf numFmtId="170" fontId="230" fillId="0" borderId="0" xfId="455" applyNumberFormat="1" applyFont="1" applyAlignment="1">
      <alignment vertical="center"/>
    </xf>
    <xf numFmtId="0" fontId="15" fillId="28" borderId="14" xfId="0" applyFont="1" applyFill="1" applyBorder="1" applyAlignment="1">
      <alignment horizontal="center" vertical="center" wrapText="1"/>
    </xf>
    <xf numFmtId="170" fontId="195" fillId="28" borderId="14" xfId="455" applyNumberFormat="1" applyFont="1" applyFill="1" applyBorder="1" applyAlignment="1">
      <alignment vertical="center" wrapText="1"/>
    </xf>
    <xf numFmtId="170" fontId="202" fillId="28" borderId="14" xfId="455" applyNumberFormat="1" applyFont="1" applyFill="1" applyBorder="1" applyAlignment="1">
      <alignment vertical="center" wrapText="1"/>
    </xf>
    <xf numFmtId="0" fontId="220" fillId="28" borderId="0" xfId="0" applyFont="1" applyFill="1" applyAlignment="1">
      <alignment vertical="center" wrapText="1"/>
    </xf>
    <xf numFmtId="170" fontId="273" fillId="0" borderId="14" xfId="455" applyNumberFormat="1" applyFont="1" applyBorder="1" applyAlignment="1">
      <alignment horizontal="center" vertical="center" wrapText="1"/>
    </xf>
    <xf numFmtId="170" fontId="274" fillId="0" borderId="61" xfId="455" applyNumberFormat="1" applyFont="1" applyBorder="1" applyAlignment="1">
      <alignment horizontal="center" vertical="center" wrapText="1"/>
    </xf>
    <xf numFmtId="170" fontId="249" fillId="0" borderId="61" xfId="455" applyNumberFormat="1" applyFont="1" applyBorder="1" applyAlignment="1">
      <alignment horizontal="center" vertical="center" wrapText="1"/>
    </xf>
    <xf numFmtId="170" fontId="252" fillId="0" borderId="61" xfId="455" applyNumberFormat="1" applyFont="1" applyBorder="1" applyAlignment="1">
      <alignment horizontal="center" vertical="center" wrapText="1"/>
    </xf>
    <xf numFmtId="0" fontId="243" fillId="0" borderId="61" xfId="0" applyFont="1" applyBorder="1" applyAlignment="1">
      <alignment horizontal="center" vertical="center" wrapText="1"/>
    </xf>
    <xf numFmtId="0" fontId="243" fillId="0" borderId="61" xfId="0" applyFont="1" applyBorder="1" applyAlignment="1">
      <alignment vertical="center" wrapText="1"/>
    </xf>
    <xf numFmtId="0" fontId="242" fillId="0" borderId="62" xfId="0" applyFont="1" applyBorder="1" applyAlignment="1">
      <alignment horizontal="center" vertical="center" wrapText="1"/>
    </xf>
    <xf numFmtId="0" fontId="242" fillId="0" borderId="62" xfId="0" applyFont="1" applyBorder="1" applyAlignment="1">
      <alignment vertical="center" wrapText="1"/>
    </xf>
    <xf numFmtId="170" fontId="252" fillId="0" borderId="62" xfId="455" applyNumberFormat="1" applyFont="1" applyBorder="1" applyAlignment="1">
      <alignment horizontal="center" vertical="center" wrapText="1"/>
    </xf>
    <xf numFmtId="170" fontId="276" fillId="0" borderId="61" xfId="455" applyNumberFormat="1" applyFont="1" applyBorder="1" applyAlignment="1">
      <alignment horizontal="center" vertical="center" wrapText="1"/>
    </xf>
    <xf numFmtId="170" fontId="276" fillId="0" borderId="61" xfId="0" applyNumberFormat="1" applyFont="1" applyBorder="1" applyAlignment="1">
      <alignment horizontal="center" vertical="center" wrapText="1"/>
    </xf>
    <xf numFmtId="10" fontId="249" fillId="0" borderId="61" xfId="455" applyNumberFormat="1" applyFont="1" applyBorder="1" applyAlignment="1">
      <alignment horizontal="center" vertical="center" wrapText="1"/>
    </xf>
    <xf numFmtId="170" fontId="277" fillId="0" borderId="0" xfId="455" applyNumberFormat="1" applyFont="1" applyAlignment="1">
      <alignment vertical="center"/>
    </xf>
    <xf numFmtId="170" fontId="278" fillId="0" borderId="0" xfId="455" applyNumberFormat="1" applyFont="1" applyAlignment="1">
      <alignment vertical="center"/>
    </xf>
    <xf numFmtId="170" fontId="252" fillId="0" borderId="61" xfId="0" applyNumberFormat="1" applyFont="1" applyBorder="1" applyAlignment="1">
      <alignment horizontal="center" vertical="center" wrapText="1"/>
    </xf>
    <xf numFmtId="170" fontId="252" fillId="0" borderId="60" xfId="0" applyNumberFormat="1" applyFont="1" applyBorder="1" applyAlignment="1">
      <alignment horizontal="center" vertical="center" wrapText="1"/>
    </xf>
    <xf numFmtId="170" fontId="276" fillId="0" borderId="60" xfId="0" applyNumberFormat="1" applyFont="1" applyBorder="1" applyAlignment="1">
      <alignment horizontal="center" vertical="center" wrapText="1"/>
    </xf>
    <xf numFmtId="0" fontId="240" fillId="28" borderId="0" xfId="0" applyFont="1" applyFill="1" applyAlignment="1">
      <alignment vertical="center"/>
    </xf>
    <xf numFmtId="170" fontId="240" fillId="0" borderId="0" xfId="455" applyNumberFormat="1" applyFont="1" applyAlignment="1">
      <alignment vertical="center"/>
    </xf>
    <xf numFmtId="0" fontId="242" fillId="28" borderId="73" xfId="0" applyFont="1" applyFill="1" applyBorder="1" applyAlignment="1">
      <alignment horizontal="center" vertical="center" wrapText="1"/>
    </xf>
    <xf numFmtId="0" fontId="242" fillId="28" borderId="75" xfId="0" applyFont="1" applyFill="1" applyBorder="1" applyAlignment="1">
      <alignment horizontal="center" vertical="center" wrapText="1"/>
    </xf>
    <xf numFmtId="170" fontId="252" fillId="28" borderId="60" xfId="0" applyNumberFormat="1" applyFont="1" applyFill="1" applyBorder="1" applyAlignment="1">
      <alignment horizontal="center" vertical="center" wrapText="1"/>
    </xf>
    <xf numFmtId="170" fontId="252" fillId="28" borderId="61" xfId="0" applyNumberFormat="1" applyFont="1" applyFill="1" applyBorder="1" applyAlignment="1">
      <alignment horizontal="center" vertical="center" wrapText="1"/>
    </xf>
    <xf numFmtId="170" fontId="249" fillId="28" borderId="61" xfId="455" applyNumberFormat="1" applyFont="1" applyFill="1" applyBorder="1" applyAlignment="1">
      <alignment horizontal="center" vertical="center" wrapText="1"/>
    </xf>
    <xf numFmtId="170" fontId="252" fillId="28" borderId="61" xfId="455" applyNumberFormat="1" applyFont="1" applyFill="1" applyBorder="1" applyAlignment="1">
      <alignment horizontal="center" vertical="center" wrapText="1"/>
    </xf>
    <xf numFmtId="170" fontId="252" fillId="28" borderId="62" xfId="455" applyNumberFormat="1" applyFont="1" applyFill="1" applyBorder="1" applyAlignment="1">
      <alignment horizontal="center" vertical="center" wrapText="1"/>
    </xf>
    <xf numFmtId="0" fontId="242" fillId="0" borderId="0" xfId="0" applyFont="1" applyBorder="1" applyAlignment="1">
      <alignment horizontal="center" vertical="center" wrapText="1"/>
    </xf>
    <xf numFmtId="0" fontId="242" fillId="0" borderId="0" xfId="0" applyFont="1" applyBorder="1" applyAlignment="1">
      <alignment vertical="center" wrapText="1"/>
    </xf>
    <xf numFmtId="170" fontId="252" fillId="28" borderId="0" xfId="455" applyNumberFormat="1" applyFont="1" applyFill="1" applyBorder="1" applyAlignment="1">
      <alignment horizontal="center" vertical="center" wrapText="1"/>
    </xf>
    <xf numFmtId="170" fontId="252" fillId="0" borderId="0" xfId="455" applyNumberFormat="1" applyFont="1" applyBorder="1" applyAlignment="1">
      <alignment horizontal="center" vertical="center" wrapText="1"/>
    </xf>
    <xf numFmtId="170" fontId="242" fillId="0" borderId="73" xfId="455" applyNumberFormat="1" applyFont="1" applyBorder="1" applyAlignment="1">
      <alignment horizontal="center" vertical="center" wrapText="1"/>
    </xf>
    <xf numFmtId="170" fontId="252" fillId="0" borderId="60" xfId="455" applyNumberFormat="1" applyFont="1" applyBorder="1" applyAlignment="1">
      <alignment horizontal="center" vertical="center" wrapText="1"/>
    </xf>
    <xf numFmtId="170" fontId="280" fillId="0" borderId="61" xfId="455" applyNumberFormat="1" applyFont="1" applyBorder="1" applyAlignment="1">
      <alignment vertical="center"/>
    </xf>
    <xf numFmtId="170" fontId="279" fillId="0" borderId="61" xfId="455" applyNumberFormat="1" applyFont="1" applyBorder="1" applyAlignment="1">
      <alignment vertical="center"/>
    </xf>
    <xf numFmtId="170" fontId="280" fillId="0" borderId="62" xfId="455" applyNumberFormat="1" applyFont="1" applyBorder="1" applyAlignment="1">
      <alignment vertical="center"/>
    </xf>
    <xf numFmtId="170" fontId="200" fillId="0" borderId="14" xfId="455" applyNumberFormat="1" applyFont="1" applyBorder="1" applyAlignment="1">
      <alignment vertical="center" wrapText="1"/>
    </xf>
    <xf numFmtId="0" fontId="15" fillId="0" borderId="14" xfId="0" applyFont="1" applyBorder="1" applyAlignment="1">
      <alignment horizontal="center" vertical="center" wrapText="1"/>
    </xf>
    <xf numFmtId="170" fontId="220" fillId="0" borderId="0" xfId="0" applyNumberFormat="1" applyFont="1" applyAlignment="1">
      <alignment vertical="center" wrapText="1"/>
    </xf>
    <xf numFmtId="0" fontId="281" fillId="0" borderId="1" xfId="0" applyFont="1" applyBorder="1" applyAlignment="1">
      <alignment horizontal="center" vertical="center" wrapText="1"/>
    </xf>
    <xf numFmtId="170" fontId="275" fillId="0" borderId="0" xfId="455" applyNumberFormat="1" applyFont="1" applyAlignment="1">
      <alignment vertical="center"/>
    </xf>
    <xf numFmtId="170" fontId="282" fillId="0" borderId="0" xfId="455" applyNumberFormat="1" applyFont="1" applyAlignment="1">
      <alignment vertical="center"/>
    </xf>
    <xf numFmtId="0" fontId="283" fillId="0" borderId="0" xfId="0" applyFont="1" applyAlignment="1">
      <alignment vertical="center"/>
    </xf>
    <xf numFmtId="170" fontId="282" fillId="0" borderId="0" xfId="0" applyNumberFormat="1" applyFont="1" applyAlignment="1">
      <alignment vertical="center"/>
    </xf>
    <xf numFmtId="170" fontId="284" fillId="0" borderId="0" xfId="455" applyNumberFormat="1" applyFont="1" applyAlignment="1">
      <alignment vertical="center"/>
    </xf>
    <xf numFmtId="170" fontId="285" fillId="0" borderId="0" xfId="455" applyNumberFormat="1" applyFont="1" applyAlignment="1">
      <alignment vertical="center"/>
    </xf>
    <xf numFmtId="0" fontId="240" fillId="0" borderId="0" xfId="0" applyFont="1" applyFill="1" applyAlignment="1">
      <alignment vertical="center"/>
    </xf>
    <xf numFmtId="170" fontId="284" fillId="0" borderId="0" xfId="0" applyNumberFormat="1" applyFont="1" applyAlignment="1">
      <alignment vertical="center"/>
    </xf>
    <xf numFmtId="0" fontId="240" fillId="0" borderId="0" xfId="0" quotePrefix="1" applyFont="1" applyAlignment="1">
      <alignment vertical="center"/>
    </xf>
    <xf numFmtId="170" fontId="286" fillId="0" borderId="0" xfId="455" applyNumberFormat="1" applyFont="1" applyAlignment="1">
      <alignment vertical="center"/>
    </xf>
    <xf numFmtId="170" fontId="257" fillId="0" borderId="0" xfId="0" applyNumberFormat="1" applyFont="1" applyAlignment="1">
      <alignment vertical="center"/>
    </xf>
    <xf numFmtId="170" fontId="287" fillId="0" borderId="0" xfId="455" applyNumberFormat="1" applyFont="1" applyAlignment="1">
      <alignment vertical="center"/>
    </xf>
    <xf numFmtId="0" fontId="255" fillId="0" borderId="0" xfId="0" applyFont="1" applyAlignment="1"/>
    <xf numFmtId="0" fontId="247" fillId="0" borderId="0" xfId="0" applyFont="1" applyAlignment="1"/>
    <xf numFmtId="0" fontId="242" fillId="0" borderId="8" xfId="0" applyFont="1" applyBorder="1" applyAlignment="1">
      <alignment horizontal="center" wrapText="1"/>
    </xf>
    <xf numFmtId="170" fontId="252" fillId="0" borderId="8" xfId="455" applyNumberFormat="1" applyFont="1" applyBorder="1" applyAlignment="1">
      <alignment wrapText="1"/>
    </xf>
    <xf numFmtId="0" fontId="242" fillId="0" borderId="1" xfId="0" applyFont="1" applyBorder="1" applyAlignment="1">
      <alignment horizontal="center" vertical="center" wrapText="1"/>
    </xf>
    <xf numFmtId="0" fontId="242" fillId="0" borderId="1" xfId="0" applyFont="1" applyBorder="1" applyAlignment="1">
      <alignment horizontal="center" wrapText="1"/>
    </xf>
    <xf numFmtId="0" fontId="242" fillId="0" borderId="56" xfId="0" applyFont="1" applyBorder="1" applyAlignment="1">
      <alignment horizontal="center" vertical="center" wrapText="1"/>
    </xf>
    <xf numFmtId="170" fontId="251" fillId="0" borderId="56" xfId="455" applyNumberFormat="1" applyFont="1" applyBorder="1" applyAlignment="1">
      <alignment horizontal="center" vertical="center" wrapText="1"/>
    </xf>
    <xf numFmtId="170" fontId="252" fillId="0" borderId="56" xfId="455" applyNumberFormat="1" applyFont="1" applyBorder="1" applyAlignment="1">
      <alignment horizontal="center" vertical="center" wrapText="1"/>
    </xf>
    <xf numFmtId="257" fontId="252" fillId="0" borderId="56" xfId="455" applyNumberFormat="1" applyFont="1" applyBorder="1" applyAlignment="1">
      <alignment horizontal="center" vertical="center" wrapText="1"/>
    </xf>
    <xf numFmtId="0" fontId="246" fillId="0" borderId="8" xfId="0" applyFont="1" applyBorder="1" applyAlignment="1">
      <alignment horizontal="center" vertical="center" wrapText="1"/>
    </xf>
    <xf numFmtId="170" fontId="252" fillId="0" borderId="8" xfId="455" applyNumberFormat="1" applyFont="1" applyBorder="1" applyAlignment="1">
      <alignment horizontal="center" vertical="center" wrapText="1"/>
    </xf>
    <xf numFmtId="257" fontId="252" fillId="0" borderId="8" xfId="455" applyNumberFormat="1" applyFont="1" applyBorder="1" applyAlignment="1">
      <alignment horizontal="center" vertical="center" wrapText="1"/>
    </xf>
    <xf numFmtId="170" fontId="249" fillId="0" borderId="14" xfId="455" applyNumberFormat="1" applyFont="1" applyBorder="1" applyAlignment="1">
      <alignment vertical="center" wrapText="1"/>
    </xf>
    <xf numFmtId="170" fontId="252" fillId="0" borderId="14" xfId="455" applyNumberFormat="1" applyFont="1" applyBorder="1" applyAlignment="1">
      <alignment vertical="center" wrapText="1"/>
    </xf>
    <xf numFmtId="170" fontId="250" fillId="0" borderId="14" xfId="455" applyNumberFormat="1" applyFont="1" applyBorder="1" applyAlignment="1">
      <alignment vertical="center" wrapText="1"/>
    </xf>
    <xf numFmtId="0" fontId="255" fillId="0" borderId="56" xfId="0" applyFont="1" applyBorder="1" applyAlignment="1">
      <alignment horizontal="center" vertical="center" wrapText="1"/>
    </xf>
    <xf numFmtId="0" fontId="255" fillId="0" borderId="56" xfId="0" applyFont="1" applyBorder="1" applyAlignment="1">
      <alignment vertical="center" wrapText="1"/>
    </xf>
    <xf numFmtId="170" fontId="249" fillId="0" borderId="56" xfId="455" applyNumberFormat="1" applyFont="1" applyBorder="1" applyAlignment="1">
      <alignment vertical="center" wrapText="1"/>
    </xf>
    <xf numFmtId="0" fontId="242" fillId="0" borderId="8" xfId="0" applyFont="1" applyBorder="1" applyAlignment="1">
      <alignment horizontal="center" vertical="center" wrapText="1"/>
    </xf>
    <xf numFmtId="0" fontId="242" fillId="0" borderId="8" xfId="0" applyFont="1" applyBorder="1" applyAlignment="1">
      <alignment vertical="center" wrapText="1"/>
    </xf>
    <xf numFmtId="170" fontId="249" fillId="0" borderId="8" xfId="455" applyNumberFormat="1" applyFont="1" applyBorder="1" applyAlignment="1">
      <alignment vertical="center" wrapText="1"/>
    </xf>
    <xf numFmtId="170" fontId="252" fillId="0" borderId="14" xfId="0" applyNumberFormat="1" applyFont="1" applyBorder="1" applyAlignment="1">
      <alignment horizontal="center" vertical="center" wrapText="1"/>
    </xf>
    <xf numFmtId="170" fontId="252" fillId="0" borderId="8" xfId="0" applyNumberFormat="1" applyFont="1" applyBorder="1" applyAlignment="1">
      <alignment horizontal="center" vertical="center" wrapText="1"/>
    </xf>
    <xf numFmtId="170" fontId="276" fillId="0" borderId="77" xfId="455" applyNumberFormat="1" applyFont="1" applyBorder="1" applyAlignment="1">
      <alignment horizontal="center" vertical="center" wrapText="1"/>
    </xf>
    <xf numFmtId="170" fontId="274" fillId="0" borderId="78" xfId="455" applyNumberFormat="1" applyFont="1" applyBorder="1" applyAlignment="1">
      <alignment horizontal="center" vertical="center" wrapText="1"/>
    </xf>
    <xf numFmtId="170" fontId="274" fillId="0" borderId="79" xfId="455" applyNumberFormat="1" applyFont="1" applyBorder="1" applyAlignment="1">
      <alignment horizontal="center" vertical="center" wrapText="1"/>
    </xf>
    <xf numFmtId="0" fontId="259" fillId="0" borderId="14" xfId="0" applyFont="1" applyBorder="1" applyAlignment="1">
      <alignment horizontal="center" vertical="center" wrapText="1"/>
    </xf>
    <xf numFmtId="170" fontId="274" fillId="0" borderId="14" xfId="455" applyNumberFormat="1" applyFont="1" applyBorder="1" applyAlignment="1">
      <alignment horizontal="center" vertical="center" wrapText="1"/>
    </xf>
    <xf numFmtId="170" fontId="276" fillId="0" borderId="14" xfId="455" applyNumberFormat="1" applyFont="1" applyBorder="1" applyAlignment="1">
      <alignment horizontal="center" vertical="center" wrapText="1"/>
    </xf>
    <xf numFmtId="0" fontId="15" fillId="0" borderId="14" xfId="1031" applyFont="1" applyFill="1" applyBorder="1" applyAlignment="1">
      <alignment horizontal="center" vertical="center" wrapText="1"/>
    </xf>
    <xf numFmtId="170" fontId="275" fillId="0" borderId="14" xfId="455" applyNumberFormat="1" applyFont="1" applyBorder="1" applyAlignment="1">
      <alignment vertical="center"/>
    </xf>
    <xf numFmtId="0" fontId="259" fillId="0" borderId="56" xfId="0" applyFont="1" applyBorder="1" applyAlignment="1">
      <alignment horizontal="center" vertical="center" wrapText="1"/>
    </xf>
    <xf numFmtId="0" fontId="259" fillId="0" borderId="56" xfId="0" applyFont="1" applyBorder="1" applyAlignment="1">
      <alignment vertical="center" wrapText="1"/>
    </xf>
    <xf numFmtId="170" fontId="274" fillId="0" borderId="56" xfId="455" applyNumberFormat="1" applyFont="1" applyBorder="1" applyAlignment="1">
      <alignment horizontal="center" vertical="center" wrapText="1"/>
    </xf>
    <xf numFmtId="0" fontId="259" fillId="0" borderId="8" xfId="0" applyFont="1" applyBorder="1" applyAlignment="1">
      <alignment horizontal="center" vertical="center" wrapText="1"/>
    </xf>
    <xf numFmtId="0" fontId="256" fillId="0" borderId="8" xfId="0" applyFont="1" applyBorder="1" applyAlignment="1">
      <alignment horizontal="center" vertical="center" wrapText="1"/>
    </xf>
    <xf numFmtId="170" fontId="276" fillId="0" borderId="8" xfId="455" applyNumberFormat="1" applyFont="1" applyBorder="1" applyAlignment="1">
      <alignment horizontal="center" vertical="center" wrapText="1"/>
    </xf>
    <xf numFmtId="0" fontId="261" fillId="0" borderId="1" xfId="0" applyFont="1" applyBorder="1" applyAlignment="1">
      <alignment horizontal="center" vertical="center" wrapText="1"/>
    </xf>
    <xf numFmtId="0" fontId="259" fillId="0" borderId="1" xfId="0" applyFont="1" applyBorder="1" applyAlignment="1">
      <alignment horizontal="center" vertical="center" wrapText="1"/>
    </xf>
    <xf numFmtId="0" fontId="255" fillId="0" borderId="80" xfId="0" applyFont="1" applyBorder="1" applyAlignment="1">
      <alignment horizontal="center" vertical="center" wrapText="1"/>
    </xf>
    <xf numFmtId="0" fontId="255" fillId="0" borderId="80" xfId="0" applyFont="1" applyBorder="1" applyAlignment="1">
      <alignment vertical="center" wrapText="1"/>
    </xf>
    <xf numFmtId="170" fontId="274" fillId="0" borderId="80" xfId="455" applyNumberFormat="1" applyFont="1" applyBorder="1" applyAlignment="1">
      <alignment horizontal="center" vertical="center" wrapText="1"/>
    </xf>
    <xf numFmtId="170" fontId="276" fillId="0" borderId="14" xfId="0" applyNumberFormat="1" applyFont="1" applyBorder="1" applyAlignment="1">
      <alignment horizontal="center" vertical="center" wrapText="1"/>
    </xf>
    <xf numFmtId="0" fontId="242" fillId="0" borderId="56" xfId="0" applyFont="1" applyBorder="1" applyAlignment="1">
      <alignment vertical="center" wrapText="1"/>
    </xf>
    <xf numFmtId="170" fontId="276" fillId="0" borderId="56" xfId="455" applyNumberFormat="1" applyFont="1" applyBorder="1" applyAlignment="1">
      <alignment horizontal="center" vertical="center" wrapText="1"/>
    </xf>
    <xf numFmtId="170" fontId="276" fillId="0" borderId="8" xfId="0" applyNumberFormat="1" applyFont="1" applyBorder="1" applyAlignment="1">
      <alignment horizontal="center" vertical="center" wrapText="1"/>
    </xf>
    <xf numFmtId="170" fontId="252" fillId="0" borderId="14" xfId="0" applyNumberFormat="1" applyFont="1" applyFill="1" applyBorder="1" applyAlignment="1">
      <alignment horizontal="center" vertical="center" wrapText="1"/>
    </xf>
    <xf numFmtId="10" fontId="252" fillId="0" borderId="14" xfId="455" applyNumberFormat="1" applyFont="1" applyBorder="1" applyAlignment="1">
      <alignment horizontal="center" vertical="center" wrapText="1"/>
    </xf>
    <xf numFmtId="170" fontId="249" fillId="0" borderId="14" xfId="455" applyNumberFormat="1" applyFont="1" applyFill="1" applyBorder="1" applyAlignment="1">
      <alignment horizontal="center" vertical="center" wrapText="1"/>
    </xf>
    <xf numFmtId="10" fontId="249" fillId="0" borderId="14" xfId="455" applyNumberFormat="1" applyFont="1" applyBorder="1" applyAlignment="1">
      <alignment horizontal="center" vertical="center" wrapText="1"/>
    </xf>
    <xf numFmtId="170" fontId="252" fillId="0" borderId="14" xfId="455" applyNumberFormat="1" applyFont="1" applyFill="1" applyBorder="1" applyAlignment="1">
      <alignment horizontal="center" vertical="center" wrapText="1"/>
    </xf>
    <xf numFmtId="0" fontId="243" fillId="0" borderId="14" xfId="0" applyFont="1" applyBorder="1" applyAlignment="1">
      <alignment horizontal="center" vertical="center" wrapText="1"/>
    </xf>
    <xf numFmtId="170" fontId="252" fillId="0" borderId="56" xfId="455" applyNumberFormat="1" applyFont="1" applyFill="1" applyBorder="1" applyAlignment="1">
      <alignment horizontal="center" vertical="center" wrapText="1"/>
    </xf>
    <xf numFmtId="10" fontId="252" fillId="0" borderId="56" xfId="455" applyNumberFormat="1" applyFont="1" applyBorder="1" applyAlignment="1">
      <alignment horizontal="center" vertical="center" wrapText="1"/>
    </xf>
    <xf numFmtId="0" fontId="242" fillId="0" borderId="1" xfId="0" applyFont="1" applyFill="1" applyBorder="1" applyAlignment="1">
      <alignment horizontal="center" vertical="center" wrapText="1"/>
    </xf>
    <xf numFmtId="170" fontId="275" fillId="0" borderId="0" xfId="0" applyNumberFormat="1" applyFont="1" applyAlignment="1">
      <alignment vertical="center"/>
    </xf>
    <xf numFmtId="170" fontId="240" fillId="28" borderId="0" xfId="0" applyNumberFormat="1" applyFont="1" applyFill="1" applyAlignment="1">
      <alignment vertical="center"/>
    </xf>
    <xf numFmtId="170" fontId="252" fillId="0" borderId="13" xfId="0" applyNumberFormat="1" applyFont="1" applyFill="1" applyBorder="1" applyAlignment="1">
      <alignment horizontal="center" vertical="center" wrapText="1"/>
    </xf>
    <xf numFmtId="10" fontId="252" fillId="0" borderId="13" xfId="455" applyNumberFormat="1" applyFont="1" applyBorder="1" applyAlignment="1">
      <alignment horizontal="center" vertical="center" wrapText="1"/>
    </xf>
    <xf numFmtId="3" fontId="289" fillId="0" borderId="0" xfId="0" applyNumberFormat="1" applyFont="1" applyAlignment="1">
      <alignment vertical="center" wrapText="1"/>
    </xf>
    <xf numFmtId="3" fontId="289" fillId="0" borderId="0" xfId="0" applyNumberFormat="1" applyFont="1" applyAlignment="1">
      <alignment horizontal="center" vertical="center" wrapText="1"/>
    </xf>
    <xf numFmtId="3" fontId="15" fillId="0" borderId="0" xfId="0" applyNumberFormat="1" applyFont="1" applyAlignment="1">
      <alignment horizontal="center" vertical="center" wrapText="1"/>
    </xf>
    <xf numFmtId="3" fontId="15" fillId="0" borderId="0" xfId="0" applyNumberFormat="1" applyFont="1" applyAlignment="1">
      <alignment vertical="center" wrapText="1"/>
    </xf>
    <xf numFmtId="3" fontId="15" fillId="0" borderId="1" xfId="0" applyNumberFormat="1" applyFont="1" applyBorder="1" applyAlignment="1">
      <alignment horizontal="center" vertical="center" wrapText="1"/>
    </xf>
    <xf numFmtId="3" fontId="281" fillId="0" borderId="13" xfId="0" applyNumberFormat="1" applyFont="1" applyBorder="1" applyAlignment="1">
      <alignment horizontal="center" vertical="center" wrapText="1"/>
    </xf>
    <xf numFmtId="3" fontId="15" fillId="0" borderId="13" xfId="0" applyNumberFormat="1" applyFont="1" applyBorder="1" applyAlignment="1">
      <alignment horizontal="center" vertical="center" wrapText="1"/>
    </xf>
    <xf numFmtId="3" fontId="281" fillId="0" borderId="13" xfId="0" applyNumberFormat="1" applyFont="1" applyBorder="1" applyAlignment="1">
      <alignment vertical="center" wrapText="1"/>
    </xf>
    <xf numFmtId="3" fontId="290" fillId="0" borderId="13" xfId="0" applyNumberFormat="1" applyFont="1" applyBorder="1" applyAlignment="1">
      <alignment vertical="center" wrapText="1"/>
    </xf>
    <xf numFmtId="3" fontId="281" fillId="0" borderId="0" xfId="0" applyNumberFormat="1" applyFont="1" applyAlignment="1">
      <alignment horizontal="center" vertical="center" wrapText="1"/>
    </xf>
    <xf numFmtId="3" fontId="281" fillId="0" borderId="0" xfId="0" applyNumberFormat="1" applyFont="1" applyAlignment="1">
      <alignment vertical="center" wrapText="1"/>
    </xf>
    <xf numFmtId="3" fontId="281" fillId="0" borderId="14" xfId="0" applyNumberFormat="1" applyFont="1" applyBorder="1" applyAlignment="1">
      <alignment horizontal="center" vertical="center" wrapText="1"/>
    </xf>
    <xf numFmtId="3" fontId="15" fillId="0" borderId="14" xfId="0" applyNumberFormat="1" applyFont="1" applyBorder="1" applyAlignment="1">
      <alignment vertical="center" wrapText="1"/>
    </xf>
    <xf numFmtId="3" fontId="281" fillId="0" borderId="14" xfId="0" applyNumberFormat="1" applyFont="1" applyBorder="1" applyAlignment="1">
      <alignment vertical="center" wrapText="1"/>
    </xf>
    <xf numFmtId="3" fontId="290" fillId="0" borderId="14" xfId="0" applyNumberFormat="1" applyFont="1" applyBorder="1" applyAlignment="1">
      <alignment vertical="center" wrapText="1"/>
    </xf>
    <xf numFmtId="3" fontId="10" fillId="0" borderId="14" xfId="0" applyNumberFormat="1" applyFont="1" applyBorder="1" applyAlignment="1">
      <alignment horizontal="center" vertical="center" wrapText="1"/>
    </xf>
    <xf numFmtId="3" fontId="14" fillId="0" borderId="14" xfId="0" applyNumberFormat="1" applyFont="1" applyBorder="1" applyAlignment="1">
      <alignment vertical="center" wrapText="1"/>
    </xf>
    <xf numFmtId="3" fontId="28" fillId="0" borderId="14" xfId="0" applyNumberFormat="1" applyFont="1" applyBorder="1" applyAlignment="1">
      <alignment vertical="center" wrapText="1"/>
    </xf>
    <xf numFmtId="3" fontId="18" fillId="0" borderId="14" xfId="0" applyNumberFormat="1" applyFont="1" applyBorder="1" applyAlignment="1">
      <alignment vertical="center" wrapText="1"/>
    </xf>
    <xf numFmtId="3" fontId="10" fillId="0" borderId="0" xfId="0" applyNumberFormat="1" applyFont="1" applyAlignment="1">
      <alignment horizontal="center" vertical="center" wrapText="1"/>
    </xf>
    <xf numFmtId="3" fontId="10" fillId="0" borderId="0" xfId="0" applyNumberFormat="1" applyFont="1" applyAlignment="1">
      <alignment vertical="center" wrapText="1"/>
    </xf>
    <xf numFmtId="3" fontId="10" fillId="0" borderId="14" xfId="0" applyNumberFormat="1" applyFont="1" applyBorder="1" applyAlignment="1">
      <alignment vertical="center" wrapText="1"/>
    </xf>
    <xf numFmtId="3" fontId="14" fillId="0" borderId="8" xfId="0" applyNumberFormat="1" applyFont="1" applyBorder="1" applyAlignment="1">
      <alignment vertical="center" wrapText="1"/>
    </xf>
    <xf numFmtId="3" fontId="10" fillId="0" borderId="8" xfId="0" applyNumberFormat="1" applyFont="1" applyBorder="1" applyAlignment="1">
      <alignment vertical="center" wrapText="1"/>
    </xf>
    <xf numFmtId="3" fontId="290" fillId="0" borderId="8" xfId="0" applyNumberFormat="1" applyFont="1" applyBorder="1" applyAlignment="1">
      <alignment vertical="center" wrapText="1"/>
    </xf>
    <xf numFmtId="3" fontId="18" fillId="0" borderId="8" xfId="0" applyNumberFormat="1" applyFont="1" applyBorder="1" applyAlignment="1">
      <alignment vertical="center" wrapText="1"/>
    </xf>
    <xf numFmtId="3" fontId="291" fillId="0" borderId="14" xfId="0" applyNumberFormat="1" applyFont="1" applyBorder="1" applyAlignment="1">
      <alignment horizontal="center" vertical="center" wrapText="1"/>
    </xf>
    <xf numFmtId="3" fontId="222" fillId="0" borderId="14" xfId="0" applyNumberFormat="1" applyFont="1" applyBorder="1" applyAlignment="1">
      <alignment vertical="center" wrapText="1"/>
    </xf>
    <xf numFmtId="3" fontId="291" fillId="0" borderId="14" xfId="0" applyNumberFormat="1" applyFont="1" applyBorder="1" applyAlignment="1">
      <alignment vertical="center" wrapText="1"/>
    </xf>
    <xf numFmtId="3" fontId="292"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291" fillId="0" borderId="0" xfId="0" applyNumberFormat="1" applyFont="1" applyAlignment="1">
      <alignment horizontal="center" vertical="center" wrapText="1"/>
    </xf>
    <xf numFmtId="3" fontId="291" fillId="0" borderId="0" xfId="0" applyNumberFormat="1" applyFont="1" applyAlignment="1">
      <alignment vertical="center" wrapText="1"/>
    </xf>
    <xf numFmtId="3" fontId="14" fillId="0" borderId="14" xfId="0" applyNumberFormat="1" applyFont="1" applyBorder="1" applyAlignment="1">
      <alignment horizontal="left" vertical="center" wrapText="1"/>
    </xf>
    <xf numFmtId="0" fontId="14" fillId="0" borderId="14" xfId="0" applyNumberFormat="1" applyFont="1" applyBorder="1" applyAlignment="1">
      <alignment horizontal="left" vertical="center" wrapText="1"/>
    </xf>
    <xf numFmtId="49" fontId="14" fillId="0" borderId="14" xfId="0" applyNumberFormat="1" applyFont="1" applyBorder="1" applyAlignment="1">
      <alignment horizontal="justify" vertical="center" wrapText="1"/>
    </xf>
    <xf numFmtId="49" fontId="14" fillId="0" borderId="14" xfId="0" applyNumberFormat="1" applyFont="1" applyBorder="1" applyAlignment="1">
      <alignment horizontal="left" vertical="center" wrapText="1"/>
    </xf>
    <xf numFmtId="3" fontId="18" fillId="0" borderId="14" xfId="0" applyNumberFormat="1" applyFont="1" applyBorder="1" applyAlignment="1">
      <alignment horizontal="right" vertical="center" wrapText="1"/>
    </xf>
    <xf numFmtId="3" fontId="289" fillId="0" borderId="56" xfId="0" applyNumberFormat="1" applyFont="1" applyBorder="1" applyAlignment="1">
      <alignment vertical="center" wrapText="1"/>
    </xf>
    <xf numFmtId="3" fontId="14" fillId="0" borderId="56" xfId="0" applyNumberFormat="1" applyFont="1" applyBorder="1" applyAlignment="1">
      <alignment vertical="center" wrapText="1"/>
    </xf>
    <xf numFmtId="3" fontId="18" fillId="0" borderId="56" xfId="0" applyNumberFormat="1" applyFont="1" applyBorder="1" applyAlignment="1">
      <alignment vertical="center" wrapText="1"/>
    </xf>
    <xf numFmtId="3" fontId="293" fillId="0" borderId="0" xfId="0" applyNumberFormat="1" applyFont="1" applyAlignment="1">
      <alignment vertical="center" wrapText="1"/>
    </xf>
    <xf numFmtId="3" fontId="48" fillId="0" borderId="0" xfId="0" applyNumberFormat="1" applyFont="1" applyAlignment="1">
      <alignment vertical="center" wrapText="1"/>
    </xf>
    <xf numFmtId="3" fontId="15" fillId="0" borderId="48" xfId="0" applyNumberFormat="1" applyFont="1" applyBorder="1" applyAlignment="1">
      <alignment vertical="center" wrapText="1"/>
    </xf>
    <xf numFmtId="170" fontId="241" fillId="0" borderId="14" xfId="0" applyNumberFormat="1" applyFont="1" applyBorder="1" applyAlignment="1">
      <alignment vertical="center" wrapText="1"/>
    </xf>
    <xf numFmtId="170" fontId="19" fillId="0" borderId="56" xfId="0" applyNumberFormat="1" applyFont="1" applyBorder="1" applyAlignment="1">
      <alignment vertical="center" wrapText="1"/>
    </xf>
    <xf numFmtId="3" fontId="26" fillId="0" borderId="14" xfId="0" applyNumberFormat="1" applyFont="1" applyBorder="1" applyAlignment="1">
      <alignment vertical="center" wrapText="1"/>
    </xf>
    <xf numFmtId="3" fontId="294" fillId="0" borderId="14" xfId="0" applyNumberFormat="1" applyFont="1" applyBorder="1" applyAlignment="1">
      <alignment vertical="center" wrapText="1"/>
    </xf>
    <xf numFmtId="3" fontId="294" fillId="0" borderId="0" xfId="0" applyNumberFormat="1" applyFont="1" applyAlignment="1">
      <alignment horizontal="center" vertical="center" wrapText="1"/>
    </xf>
    <xf numFmtId="3" fontId="294" fillId="0" borderId="0" xfId="0" applyNumberFormat="1" applyFont="1" applyAlignment="1">
      <alignment vertical="center" wrapText="1"/>
    </xf>
    <xf numFmtId="3" fontId="295" fillId="0" borderId="14" xfId="0" applyNumberFormat="1" applyFont="1" applyBorder="1" applyAlignment="1">
      <alignment vertical="center" wrapText="1"/>
    </xf>
    <xf numFmtId="3" fontId="14" fillId="0" borderId="68" xfId="0" applyNumberFormat="1" applyFont="1" applyBorder="1" applyAlignment="1">
      <alignment vertical="center" wrapText="1"/>
    </xf>
    <xf numFmtId="0" fontId="242" fillId="0" borderId="0" xfId="0" applyFont="1" applyAlignment="1">
      <alignment horizontal="right" vertical="center"/>
    </xf>
    <xf numFmtId="0" fontId="242" fillId="0" borderId="0" xfId="0" applyFont="1" applyAlignment="1">
      <alignment horizontal="center" vertical="center"/>
    </xf>
    <xf numFmtId="3" fontId="15" fillId="0" borderId="1" xfId="0" applyNumberFormat="1" applyFont="1" applyBorder="1" applyAlignment="1">
      <alignment horizontal="center" vertical="center" wrapText="1"/>
    </xf>
    <xf numFmtId="0" fontId="14" fillId="0" borderId="0" xfId="0" applyFont="1" applyBorder="1"/>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44" fillId="0" borderId="14" xfId="0" applyFont="1" applyBorder="1" applyAlignment="1">
      <alignment horizontal="center" vertical="center"/>
    </xf>
    <xf numFmtId="3" fontId="44" fillId="0" borderId="14" xfId="0" applyNumberFormat="1" applyFont="1" applyBorder="1" applyAlignment="1">
      <alignment vertical="center"/>
    </xf>
    <xf numFmtId="0" fontId="15" fillId="0" borderId="14" xfId="0" applyFont="1" applyBorder="1" applyAlignment="1">
      <alignment horizontal="left" vertical="center"/>
    </xf>
    <xf numFmtId="3" fontId="15" fillId="0" borderId="14" xfId="0" applyNumberFormat="1" applyFont="1" applyBorder="1" applyAlignment="1">
      <alignment vertical="center"/>
    </xf>
    <xf numFmtId="0" fontId="26" fillId="0" borderId="14" xfId="0" applyFont="1" applyBorder="1" applyAlignment="1">
      <alignment horizontal="left" vertical="center"/>
    </xf>
    <xf numFmtId="3" fontId="26" fillId="0" borderId="14" xfId="0" applyNumberFormat="1" applyFont="1" applyBorder="1" applyAlignment="1">
      <alignment vertical="center"/>
    </xf>
    <xf numFmtId="0" fontId="26" fillId="0" borderId="14" xfId="0" applyFont="1" applyBorder="1" applyAlignment="1">
      <alignment horizontal="justify" vertical="center" wrapText="1"/>
    </xf>
    <xf numFmtId="0" fontId="26" fillId="0" borderId="14" xfId="0" applyFont="1" applyFill="1" applyBorder="1" applyAlignment="1">
      <alignment horizontal="justify" vertical="center" wrapText="1"/>
    </xf>
    <xf numFmtId="3" fontId="26" fillId="0" borderId="14" xfId="0" applyNumberFormat="1" applyFont="1" applyFill="1" applyBorder="1" applyAlignment="1">
      <alignment vertical="center"/>
    </xf>
    <xf numFmtId="0" fontId="15" fillId="0" borderId="14" xfId="0" applyFont="1" applyBorder="1"/>
    <xf numFmtId="0" fontId="14" fillId="0" borderId="14" xfId="0" applyFont="1" applyBorder="1"/>
    <xf numFmtId="3" fontId="14" fillId="0" borderId="14" xfId="0" applyNumberFormat="1" applyFont="1" applyBorder="1" applyAlignment="1">
      <alignment vertical="center"/>
    </xf>
    <xf numFmtId="3" fontId="14" fillId="29" borderId="14" xfId="0" applyNumberFormat="1" applyFont="1" applyFill="1" applyBorder="1" applyAlignment="1">
      <alignment vertical="center"/>
    </xf>
    <xf numFmtId="0" fontId="222" fillId="0" borderId="14" xfId="0" applyFont="1" applyBorder="1" applyAlignment="1">
      <alignment horizontal="justify" vertical="center" wrapText="1"/>
    </xf>
    <xf numFmtId="3" fontId="222" fillId="0" borderId="14" xfId="0" applyNumberFormat="1" applyFont="1" applyBorder="1" applyAlignment="1">
      <alignment vertical="center"/>
    </xf>
    <xf numFmtId="0" fontId="222" fillId="0" borderId="14" xfId="0" applyFont="1" applyFill="1" applyBorder="1" applyAlignment="1">
      <alignment horizontal="justify" vertical="center" wrapText="1"/>
    </xf>
    <xf numFmtId="3" fontId="222" fillId="0" borderId="14" xfId="0" applyNumberFormat="1" applyFont="1" applyFill="1" applyBorder="1" applyAlignment="1">
      <alignment vertical="center"/>
    </xf>
    <xf numFmtId="3" fontId="15" fillId="29" borderId="14" xfId="0" applyNumberFormat="1" applyFont="1" applyFill="1" applyBorder="1" applyAlignment="1">
      <alignment vertical="center"/>
    </xf>
    <xf numFmtId="0" fontId="222" fillId="0" borderId="14" xfId="0" applyFont="1" applyFill="1" applyBorder="1"/>
    <xf numFmtId="0" fontId="222" fillId="0" borderId="14" xfId="0" applyFont="1" applyBorder="1"/>
    <xf numFmtId="0" fontId="222" fillId="29" borderId="14" xfId="0" applyFont="1" applyFill="1" applyBorder="1"/>
    <xf numFmtId="0" fontId="222" fillId="29" borderId="14" xfId="0" applyFont="1" applyFill="1" applyBorder="1" applyAlignment="1">
      <alignment horizontal="justify" vertical="center" wrapText="1"/>
    </xf>
    <xf numFmtId="0" fontId="15" fillId="0" borderId="14" xfId="0" applyFont="1" applyBorder="1" applyAlignment="1">
      <alignment horizontal="justify" vertical="center" wrapText="1"/>
    </xf>
    <xf numFmtId="3" fontId="222" fillId="29" borderId="14" xfId="0" applyNumberFormat="1" applyFont="1" applyFill="1" applyBorder="1" applyAlignment="1">
      <alignment vertical="center"/>
    </xf>
    <xf numFmtId="3" fontId="26" fillId="29" borderId="14" xfId="0" applyNumberFormat="1" applyFont="1" applyFill="1" applyBorder="1" applyAlignment="1">
      <alignment vertical="center"/>
    </xf>
    <xf numFmtId="3" fontId="15" fillId="0" borderId="14" xfId="0" applyNumberFormat="1" applyFont="1" applyFill="1" applyBorder="1" applyAlignment="1">
      <alignment vertical="center"/>
    </xf>
    <xf numFmtId="0" fontId="15" fillId="0" borderId="14" xfId="0" applyFont="1" applyBorder="1" applyAlignment="1">
      <alignment vertical="center"/>
    </xf>
    <xf numFmtId="3" fontId="14" fillId="0" borderId="14" xfId="0" applyNumberFormat="1" applyFont="1" applyFill="1" applyBorder="1" applyAlignment="1">
      <alignment vertical="center"/>
    </xf>
    <xf numFmtId="0" fontId="14" fillId="0" borderId="56" xfId="0" applyFont="1" applyBorder="1"/>
    <xf numFmtId="3" fontId="14" fillId="0" borderId="56" xfId="0" applyNumberFormat="1" applyFont="1" applyFill="1" applyBorder="1" applyAlignment="1">
      <alignment vertical="center"/>
    </xf>
    <xf numFmtId="0" fontId="25" fillId="0" borderId="0" xfId="0" applyFont="1" applyAlignment="1">
      <alignment vertical="top"/>
    </xf>
    <xf numFmtId="0" fontId="242" fillId="0" borderId="0" xfId="0" applyFont="1" applyAlignment="1">
      <alignment vertical="center"/>
    </xf>
    <xf numFmtId="0" fontId="288" fillId="0" borderId="0" xfId="0" applyFont="1" applyAlignment="1">
      <alignment horizontal="left" vertical="center"/>
    </xf>
    <xf numFmtId="0" fontId="242" fillId="0" borderId="0" xfId="0" applyFont="1" applyAlignment="1">
      <alignment horizontal="left" vertical="center"/>
    </xf>
    <xf numFmtId="0" fontId="15" fillId="0" borderId="0" xfId="0" applyFont="1" applyAlignment="1">
      <alignment horizontal="right" vertical="top" wrapText="1"/>
    </xf>
    <xf numFmtId="0" fontId="106" fillId="0" borderId="0" xfId="0" applyFont="1"/>
    <xf numFmtId="0" fontId="106" fillId="0" borderId="0" xfId="0" applyFont="1" applyAlignment="1">
      <alignment horizontal="center" vertical="center"/>
    </xf>
    <xf numFmtId="0" fontId="106" fillId="0" borderId="0" xfId="0" applyFont="1" applyAlignment="1"/>
    <xf numFmtId="0" fontId="14" fillId="0" borderId="13" xfId="0" applyFont="1" applyBorder="1" applyAlignment="1">
      <alignment horizontal="center" vertical="center" wrapText="1"/>
    </xf>
    <xf numFmtId="0" fontId="14" fillId="0" borderId="13" xfId="0" applyFont="1" applyBorder="1" applyAlignment="1">
      <alignment vertical="center" wrapText="1"/>
    </xf>
    <xf numFmtId="49" fontId="14" fillId="0" borderId="14" xfId="0" applyNumberFormat="1" applyFont="1" applyBorder="1" applyAlignment="1">
      <alignment horizontal="center" vertical="center" wrapText="1"/>
    </xf>
    <xf numFmtId="0" fontId="14" fillId="0" borderId="56" xfId="0" applyFont="1" applyBorder="1" applyAlignment="1">
      <alignment horizontal="center" vertical="center" wrapText="1"/>
    </xf>
    <xf numFmtId="0" fontId="14" fillId="0" borderId="56" xfId="0" applyFont="1" applyBorder="1" applyAlignment="1">
      <alignment vertical="center" wrapText="1"/>
    </xf>
    <xf numFmtId="0" fontId="14" fillId="0" borderId="0" xfId="0" applyFont="1"/>
    <xf numFmtId="0" fontId="293" fillId="0" borderId="1" xfId="0" applyFont="1" applyBorder="1" applyAlignment="1">
      <alignment horizontal="center" vertical="center" wrapText="1"/>
    </xf>
    <xf numFmtId="3" fontId="15" fillId="0" borderId="1" xfId="0" applyNumberFormat="1" applyFont="1" applyBorder="1"/>
    <xf numFmtId="0" fontId="14" fillId="0" borderId="8" xfId="1031" applyFont="1" applyFill="1" applyBorder="1" applyAlignment="1">
      <alignment horizontal="left" vertical="center" wrapText="1"/>
    </xf>
    <xf numFmtId="0" fontId="14" fillId="0" borderId="14" xfId="1031" applyFont="1" applyFill="1" applyBorder="1" applyAlignment="1">
      <alignment horizontal="left" vertical="center" wrapText="1"/>
    </xf>
    <xf numFmtId="0" fontId="14" fillId="0" borderId="56" xfId="1031" applyFont="1" applyFill="1" applyBorder="1" applyAlignment="1">
      <alignment horizontal="left" vertical="center" wrapText="1"/>
    </xf>
    <xf numFmtId="0" fontId="25" fillId="0" borderId="0" xfId="0" applyFont="1" applyAlignment="1"/>
    <xf numFmtId="0" fontId="14" fillId="0" borderId="8" xfId="0" applyFont="1" applyBorder="1" applyAlignment="1">
      <alignment vertical="center" wrapText="1"/>
    </xf>
    <xf numFmtId="0" fontId="243" fillId="0" borderId="81" xfId="0" applyFont="1" applyBorder="1" applyAlignment="1">
      <alignment wrapText="1"/>
    </xf>
    <xf numFmtId="3" fontId="290" fillId="29" borderId="14" xfId="0" applyNumberFormat="1" applyFont="1" applyFill="1" applyBorder="1" applyAlignment="1">
      <alignment vertical="center" wrapText="1"/>
    </xf>
    <xf numFmtId="3" fontId="18" fillId="29" borderId="14" xfId="0" applyNumberFormat="1" applyFont="1" applyFill="1" applyBorder="1" applyAlignment="1">
      <alignment vertical="center" wrapText="1"/>
    </xf>
    <xf numFmtId="261" fontId="41" fillId="0" borderId="19" xfId="0" applyNumberFormat="1" applyFont="1" applyBorder="1" applyAlignment="1">
      <alignment vertical="center" wrapText="1"/>
    </xf>
    <xf numFmtId="170" fontId="41" fillId="0" borderId="19" xfId="0" applyNumberFormat="1" applyFont="1" applyBorder="1" applyAlignment="1">
      <alignment vertical="center" wrapText="1"/>
    </xf>
    <xf numFmtId="0" fontId="247" fillId="0" borderId="61" xfId="0" applyFont="1" applyBorder="1" applyAlignment="1">
      <alignment horizontal="center" vertical="center" wrapText="1"/>
    </xf>
    <xf numFmtId="3" fontId="15" fillId="0" borderId="0" xfId="1032" applyNumberFormat="1" applyFont="1" applyFill="1" applyAlignment="1">
      <alignment horizontal="right" vertical="center" wrapText="1"/>
    </xf>
    <xf numFmtId="1"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262" fontId="14" fillId="0" borderId="68" xfId="1032" applyNumberFormat="1" applyFont="1" applyFill="1" applyBorder="1" applyAlignment="1">
      <alignment horizontal="center" vertical="center" wrapText="1"/>
    </xf>
    <xf numFmtId="1" fontId="14" fillId="0" borderId="68" xfId="1032" applyNumberFormat="1" applyFont="1" applyFill="1" applyBorder="1" applyAlignment="1">
      <alignment horizontal="left" vertical="center" wrapText="1"/>
    </xf>
    <xf numFmtId="3" fontId="14" fillId="0" borderId="68" xfId="1032" applyNumberFormat="1" applyFont="1" applyFill="1" applyBorder="1" applyAlignment="1">
      <alignment horizontal="right" vertical="center" wrapText="1"/>
    </xf>
    <xf numFmtId="1" fontId="14" fillId="0" borderId="68" xfId="1032" applyNumberFormat="1" applyFont="1" applyFill="1" applyBorder="1" applyAlignment="1">
      <alignment horizontal="center" vertical="center" wrapText="1"/>
    </xf>
    <xf numFmtId="3" fontId="14" fillId="0" borderId="68" xfId="1032" applyNumberFormat="1" applyFont="1" applyFill="1" applyBorder="1" applyAlignment="1">
      <alignment horizontal="center" vertical="center" wrapText="1"/>
    </xf>
    <xf numFmtId="3" fontId="15" fillId="0" borderId="1" xfId="1032" applyNumberFormat="1" applyFont="1" applyFill="1" applyBorder="1" applyAlignment="1">
      <alignment horizontal="center" vertical="center" wrapText="1"/>
    </xf>
    <xf numFmtId="262"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right" vertical="center" wrapText="1"/>
    </xf>
    <xf numFmtId="3" fontId="222" fillId="0" borderId="23" xfId="1032" applyNumberFormat="1" applyFont="1" applyFill="1" applyBorder="1" applyAlignment="1">
      <alignment horizontal="left" vertical="center" wrapText="1"/>
    </xf>
    <xf numFmtId="262" fontId="14" fillId="0" borderId="13" xfId="1032" applyNumberFormat="1" applyFont="1" applyFill="1" applyBorder="1" applyAlignment="1">
      <alignment horizontal="center" vertical="center" wrapText="1"/>
    </xf>
    <xf numFmtId="1" fontId="14" fillId="0" borderId="13" xfId="1032" applyNumberFormat="1" applyFont="1" applyFill="1" applyBorder="1" applyAlignment="1">
      <alignment horizontal="left" vertical="center" wrapText="1"/>
    </xf>
    <xf numFmtId="3" fontId="14" fillId="0" borderId="13" xfId="1032" applyNumberFormat="1" applyFont="1" applyFill="1" applyBorder="1" applyAlignment="1">
      <alignment horizontal="right" vertical="center" wrapText="1"/>
    </xf>
    <xf numFmtId="1" fontId="14" fillId="0" borderId="13" xfId="1032" applyNumberFormat="1" applyFont="1" applyFill="1" applyBorder="1" applyAlignment="1">
      <alignment horizontal="right" vertical="center" wrapText="1"/>
    </xf>
    <xf numFmtId="262" fontId="14" fillId="0" borderId="14" xfId="1032" applyNumberFormat="1" applyFont="1" applyFill="1" applyBorder="1" applyAlignment="1">
      <alignment horizontal="center" vertical="center" wrapText="1"/>
    </xf>
    <xf numFmtId="1" fontId="14" fillId="0" borderId="14" xfId="1032" applyNumberFormat="1" applyFont="1" applyFill="1" applyBorder="1" applyAlignment="1">
      <alignment horizontal="left" vertical="center" wrapText="1"/>
    </xf>
    <xf numFmtId="3" fontId="14" fillId="0" borderId="14" xfId="1032" applyNumberFormat="1" applyFont="1" applyFill="1" applyBorder="1" applyAlignment="1">
      <alignment horizontal="right" vertical="center" wrapText="1"/>
    </xf>
    <xf numFmtId="1" fontId="14" fillId="0" borderId="14" xfId="1032" applyNumberFormat="1" applyFont="1" applyFill="1" applyBorder="1" applyAlignment="1">
      <alignment horizontal="right" vertical="center" wrapText="1"/>
    </xf>
    <xf numFmtId="0" fontId="14" fillId="0" borderId="14" xfId="1033" applyFont="1" applyFill="1" applyBorder="1" applyAlignment="1">
      <alignment horizontal="left" vertical="center" wrapText="1"/>
    </xf>
    <xf numFmtId="3" fontId="14" fillId="0" borderId="14" xfId="1033" applyNumberFormat="1" applyFont="1" applyFill="1" applyBorder="1" applyAlignment="1">
      <alignment horizontal="right" vertical="center" wrapText="1"/>
    </xf>
    <xf numFmtId="0" fontId="14" fillId="0" borderId="14" xfId="1033" applyFont="1" applyFill="1" applyBorder="1" applyAlignment="1">
      <alignment horizontal="right" vertical="center" wrapText="1"/>
    </xf>
    <xf numFmtId="3" fontId="14" fillId="0" borderId="14" xfId="1033" applyNumberFormat="1" applyFont="1" applyFill="1" applyBorder="1" applyAlignment="1">
      <alignment horizontal="left" vertical="center" wrapText="1"/>
    </xf>
    <xf numFmtId="0" fontId="14" fillId="0" borderId="14" xfId="1034" applyFont="1" applyFill="1" applyBorder="1" applyAlignment="1">
      <alignment horizontal="left" vertical="center" wrapText="1"/>
    </xf>
    <xf numFmtId="3" fontId="14" fillId="0" borderId="14" xfId="1034" applyNumberFormat="1" applyFont="1" applyFill="1" applyBorder="1" applyAlignment="1">
      <alignment horizontal="right" vertical="center" wrapText="1"/>
    </xf>
    <xf numFmtId="0" fontId="14" fillId="0" borderId="14" xfId="1034" applyFont="1" applyFill="1" applyBorder="1" applyAlignment="1">
      <alignment horizontal="right" vertical="center" wrapText="1"/>
    </xf>
    <xf numFmtId="1" fontId="14" fillId="29" borderId="14" xfId="1032" applyNumberFormat="1" applyFont="1" applyFill="1" applyBorder="1" applyAlignment="1">
      <alignment horizontal="left" vertical="center" wrapText="1"/>
    </xf>
    <xf numFmtId="3" fontId="14" fillId="29" borderId="14" xfId="1032" applyNumberFormat="1" applyFont="1" applyFill="1" applyBorder="1" applyAlignment="1">
      <alignment horizontal="right" vertical="center" wrapText="1"/>
    </xf>
    <xf numFmtId="1" fontId="14" fillId="29" borderId="14" xfId="1032" applyNumberFormat="1" applyFont="1" applyFill="1" applyBorder="1" applyAlignment="1">
      <alignment horizontal="right" vertical="center" wrapText="1"/>
    </xf>
    <xf numFmtId="262" fontId="14" fillId="0" borderId="56" xfId="1032" applyNumberFormat="1" applyFont="1" applyFill="1" applyBorder="1" applyAlignment="1">
      <alignment horizontal="center" vertical="center" wrapText="1"/>
    </xf>
    <xf numFmtId="1" fontId="14" fillId="0" borderId="56" xfId="1032" applyNumberFormat="1" applyFont="1" applyFill="1" applyBorder="1" applyAlignment="1">
      <alignment horizontal="left" vertical="center" wrapText="1"/>
    </xf>
    <xf numFmtId="3" fontId="14" fillId="0" borderId="56" xfId="1032" applyNumberFormat="1" applyFont="1" applyFill="1" applyBorder="1" applyAlignment="1">
      <alignment horizontal="right" vertical="center" wrapText="1"/>
    </xf>
    <xf numFmtId="1" fontId="14" fillId="0" borderId="56" xfId="1032" applyNumberFormat="1" applyFont="1" applyFill="1" applyBorder="1" applyAlignment="1">
      <alignment horizontal="right" vertical="center" wrapText="1"/>
    </xf>
    <xf numFmtId="262" fontId="15" fillId="0" borderId="1" xfId="1032" applyNumberFormat="1" applyFont="1" applyFill="1" applyBorder="1" applyAlignment="1">
      <alignment horizontal="center" vertical="center" wrapText="1"/>
    </xf>
    <xf numFmtId="0" fontId="25" fillId="0" borderId="0" xfId="709" applyFont="1" applyAlignment="1">
      <alignment horizontal="center" wrapText="1"/>
    </xf>
    <xf numFmtId="0" fontId="25" fillId="0" borderId="0" xfId="709" quotePrefix="1" applyFont="1" applyAlignment="1">
      <alignment horizontal="center" wrapText="1"/>
    </xf>
    <xf numFmtId="0" fontId="25" fillId="0" borderId="14" xfId="709" applyFont="1" applyBorder="1" applyAlignment="1">
      <alignment horizontal="left" wrapText="1"/>
    </xf>
    <xf numFmtId="0" fontId="25" fillId="0" borderId="13" xfId="709" applyFont="1" applyBorder="1" applyAlignment="1">
      <alignment horizontal="center" wrapText="1"/>
    </xf>
    <xf numFmtId="0" fontId="25" fillId="0" borderId="14" xfId="709" applyFont="1" applyBorder="1" applyAlignment="1">
      <alignment horizontal="center" wrapText="1"/>
    </xf>
    <xf numFmtId="0" fontId="24" fillId="0" borderId="14" xfId="709" applyFont="1" applyBorder="1" applyAlignment="1">
      <alignment vertical="center" wrapText="1"/>
    </xf>
    <xf numFmtId="0" fontId="25" fillId="0" borderId="14" xfId="709" quotePrefix="1" applyFont="1" applyBorder="1" applyAlignment="1">
      <alignment horizontal="left" wrapText="1"/>
    </xf>
    <xf numFmtId="0" fontId="24" fillId="0" borderId="59" xfId="709" applyFont="1" applyBorder="1" applyAlignment="1">
      <alignment horizontal="left" vertical="center" wrapText="1"/>
    </xf>
    <xf numFmtId="0" fontId="24" fillId="0" borderId="19" xfId="709" applyFont="1" applyBorder="1" applyAlignment="1">
      <alignment horizontal="left" vertical="center" wrapText="1"/>
    </xf>
    <xf numFmtId="0" fontId="24" fillId="0" borderId="14" xfId="709" applyFont="1" applyBorder="1" applyAlignment="1">
      <alignment wrapText="1"/>
    </xf>
    <xf numFmtId="0" fontId="209" fillId="0" borderId="14" xfId="709" applyFont="1" applyBorder="1" applyAlignment="1">
      <alignment vertical="center" wrapText="1"/>
    </xf>
    <xf numFmtId="0" fontId="24" fillId="0" borderId="56" xfId="709" applyFont="1" applyBorder="1" applyAlignment="1">
      <alignment vertical="center" wrapText="1"/>
    </xf>
    <xf numFmtId="168" fontId="196" fillId="0" borderId="14" xfId="713" applyNumberFormat="1" applyFont="1" applyBorder="1" applyAlignment="1">
      <alignment horizontal="left"/>
    </xf>
    <xf numFmtId="168" fontId="28" fillId="0" borderId="1" xfId="710" applyNumberFormat="1" applyFont="1" applyBorder="1" applyAlignment="1">
      <alignment horizontal="center" vertical="center" wrapText="1"/>
    </xf>
    <xf numFmtId="168" fontId="28" fillId="0" borderId="34" xfId="710" applyNumberFormat="1" applyFont="1" applyBorder="1" applyAlignment="1">
      <alignment horizontal="center" vertical="center" wrapText="1"/>
    </xf>
    <xf numFmtId="168" fontId="15" fillId="0" borderId="0" xfId="710" applyNumberFormat="1" applyFont="1" applyAlignment="1">
      <alignment horizontal="center" vertical="center"/>
    </xf>
    <xf numFmtId="168" fontId="15" fillId="0" borderId="0" xfId="710" applyNumberFormat="1" applyFont="1" applyAlignment="1">
      <alignment horizontal="center"/>
    </xf>
    <xf numFmtId="0" fontId="19" fillId="0" borderId="64" xfId="710" applyNumberFormat="1" applyFont="1" applyBorder="1" applyAlignment="1">
      <alignment horizontal="center" vertical="center"/>
    </xf>
    <xf numFmtId="0" fontId="19" fillId="0" borderId="35" xfId="710" applyNumberFormat="1" applyFont="1" applyBorder="1" applyAlignment="1">
      <alignment horizontal="center" vertical="center"/>
    </xf>
    <xf numFmtId="168" fontId="19" fillId="0" borderId="39" xfId="710" applyNumberFormat="1" applyFont="1" applyBorder="1" applyAlignment="1">
      <alignment horizontal="center" vertical="center"/>
    </xf>
    <xf numFmtId="168" fontId="19" fillId="0" borderId="1" xfId="710" applyNumberFormat="1" applyFont="1" applyBorder="1" applyAlignment="1">
      <alignment horizontal="center" vertical="center"/>
    </xf>
    <xf numFmtId="168" fontId="19" fillId="0" borderId="39" xfId="710" applyNumberFormat="1" applyFont="1" applyBorder="1" applyAlignment="1">
      <alignment horizontal="center" vertical="center" wrapText="1"/>
    </xf>
    <xf numFmtId="168" fontId="19" fillId="0" borderId="1" xfId="710" applyNumberFormat="1" applyFont="1" applyBorder="1" applyAlignment="1">
      <alignment horizontal="center" vertical="center" wrapText="1"/>
    </xf>
    <xf numFmtId="168" fontId="28" fillId="0" borderId="39" xfId="710" applyNumberFormat="1" applyFont="1" applyBorder="1" applyAlignment="1">
      <alignment horizontal="center" vertical="center" wrapText="1"/>
    </xf>
    <xf numFmtId="168" fontId="28" fillId="0" borderId="21" xfId="710" applyNumberFormat="1" applyFont="1" applyBorder="1" applyAlignment="1">
      <alignment horizontal="center" vertical="center" wrapText="1"/>
    </xf>
    <xf numFmtId="0" fontId="28" fillId="26" borderId="29" xfId="712" applyNumberFormat="1" applyFont="1" applyFill="1" applyBorder="1" applyAlignment="1">
      <alignment horizontal="center" vertical="center" wrapText="1"/>
    </xf>
    <xf numFmtId="0" fontId="28" fillId="26" borderId="7" xfId="712" applyNumberFormat="1" applyFont="1" applyFill="1" applyBorder="1" applyAlignment="1">
      <alignment horizontal="center" vertical="center" wrapText="1"/>
    </xf>
    <xf numFmtId="0" fontId="28" fillId="0" borderId="15" xfId="0" applyFont="1" applyBorder="1" applyAlignment="1">
      <alignment horizontal="center" vertical="center" wrapText="1"/>
    </xf>
    <xf numFmtId="0" fontId="28" fillId="0" borderId="65" xfId="0" applyFont="1" applyBorder="1" applyAlignment="1">
      <alignment horizontal="center" vertical="center" wrapText="1"/>
    </xf>
    <xf numFmtId="0" fontId="0" fillId="3" borderId="0" xfId="0" applyFill="1" applyAlignment="1">
      <alignment horizontal="center"/>
    </xf>
    <xf numFmtId="0" fontId="9" fillId="0" borderId="0" xfId="0" applyFont="1" applyAlignment="1">
      <alignment horizontal="left"/>
    </xf>
    <xf numFmtId="0" fontId="5" fillId="0" borderId="0" xfId="0" applyFont="1" applyAlignment="1">
      <alignment horizontal="left"/>
    </xf>
    <xf numFmtId="0" fontId="4" fillId="0" borderId="0" xfId="0" applyFont="1" applyBorder="1" applyAlignment="1">
      <alignment horizontal="center"/>
    </xf>
    <xf numFmtId="0" fontId="5" fillId="0" borderId="0" xfId="0" applyFont="1" applyBorder="1" applyAlignment="1">
      <alignment horizontal="center"/>
    </xf>
    <xf numFmtId="0" fontId="7" fillId="0" borderId="11" xfId="0" applyFont="1" applyBorder="1" applyAlignment="1">
      <alignment horizontal="center"/>
    </xf>
    <xf numFmtId="0" fontId="19" fillId="0" borderId="55" xfId="0" applyFont="1" applyBorder="1" applyAlignment="1">
      <alignment horizontal="center" vertical="center" wrapText="1"/>
    </xf>
    <xf numFmtId="0" fontId="19" fillId="0" borderId="51" xfId="0" applyFont="1" applyBorder="1" applyAlignment="1">
      <alignment horizontal="center" vertical="center" wrapText="1"/>
    </xf>
    <xf numFmtId="0" fontId="28" fillId="0" borderId="39" xfId="0" applyFont="1" applyBorder="1" applyAlignment="1">
      <alignment horizontal="center" vertical="center" wrapText="1"/>
    </xf>
    <xf numFmtId="0" fontId="209" fillId="0" borderId="15" xfId="670" applyFont="1" applyBorder="1" applyAlignment="1">
      <alignment horizontal="left" vertical="center" wrapText="1"/>
    </xf>
    <xf numFmtId="0" fontId="25" fillId="0" borderId="0" xfId="670" applyFont="1" applyAlignment="1">
      <alignment horizontal="center"/>
    </xf>
    <xf numFmtId="0" fontId="209" fillId="0" borderId="11" xfId="670" applyFont="1" applyBorder="1" applyAlignment="1">
      <alignment horizontal="right"/>
    </xf>
    <xf numFmtId="0" fontId="25" fillId="0" borderId="66" xfId="670" applyFont="1" applyBorder="1" applyAlignment="1">
      <alignment horizontal="center"/>
    </xf>
    <xf numFmtId="0" fontId="25" fillId="0" borderId="67" xfId="670" applyFont="1" applyBorder="1" applyAlignment="1">
      <alignment horizontal="center"/>
    </xf>
    <xf numFmtId="0" fontId="19" fillId="0" borderId="1" xfId="710" applyNumberFormat="1" applyFont="1" applyBorder="1" applyAlignment="1">
      <alignment horizontal="center" vertical="center"/>
    </xf>
    <xf numFmtId="168" fontId="48" fillId="0" borderId="1" xfId="710" applyNumberFormat="1" applyFont="1" applyBorder="1" applyAlignment="1">
      <alignment horizontal="center" vertical="center" wrapText="1"/>
    </xf>
    <xf numFmtId="168" fontId="196" fillId="0" borderId="61" xfId="713" applyNumberFormat="1" applyFont="1" applyBorder="1" applyAlignment="1">
      <alignment horizontal="left"/>
    </xf>
    <xf numFmtId="0" fontId="253" fillId="0" borderId="0" xfId="0" applyFont="1" applyAlignment="1">
      <alignment horizontal="left"/>
    </xf>
    <xf numFmtId="0" fontId="242" fillId="0" borderId="0" xfId="0" applyFont="1" applyAlignment="1">
      <alignment horizontal="right"/>
    </xf>
    <xf numFmtId="0" fontId="248" fillId="0" borderId="0" xfId="0" applyFont="1" applyAlignment="1">
      <alignment horizontal="center"/>
    </xf>
    <xf numFmtId="0" fontId="243" fillId="0" borderId="0" xfId="0" applyFont="1" applyBorder="1" applyAlignment="1">
      <alignment horizontal="right"/>
    </xf>
    <xf numFmtId="0" fontId="242" fillId="0" borderId="1" xfId="0" applyFont="1" applyBorder="1" applyAlignment="1">
      <alignment horizontal="center" vertical="center" wrapText="1"/>
    </xf>
    <xf numFmtId="0" fontId="288" fillId="0" borderId="0" xfId="0" applyFont="1" applyAlignment="1">
      <alignment horizontal="center"/>
    </xf>
    <xf numFmtId="0" fontId="243" fillId="0" borderId="0" xfId="0" applyFont="1" applyAlignment="1">
      <alignment horizontal="left" vertical="center"/>
    </xf>
    <xf numFmtId="0" fontId="243" fillId="0" borderId="0" xfId="0" applyFont="1" applyAlignment="1">
      <alignment horizontal="left" vertical="center" wrapText="1"/>
    </xf>
    <xf numFmtId="0" fontId="243" fillId="0" borderId="0" xfId="0" applyFont="1" applyBorder="1" applyAlignment="1">
      <alignment horizontal="right" vertical="center"/>
    </xf>
    <xf numFmtId="0" fontId="244" fillId="0" borderId="0" xfId="0" applyFont="1" applyBorder="1" applyAlignment="1">
      <alignment horizontal="left" vertical="center" wrapText="1"/>
    </xf>
    <xf numFmtId="0" fontId="253" fillId="0" borderId="0" xfId="0" applyFont="1" applyAlignment="1">
      <alignment horizontal="left" vertical="center"/>
    </xf>
    <xf numFmtId="0" fontId="242" fillId="0" borderId="0" xfId="0" applyFont="1" applyAlignment="1">
      <alignment horizontal="right" vertical="center"/>
    </xf>
    <xf numFmtId="0" fontId="288" fillId="0" borderId="0" xfId="0" applyFont="1" applyAlignment="1">
      <alignment horizontal="center" vertical="center" wrapText="1"/>
    </xf>
    <xf numFmtId="0" fontId="14" fillId="0" borderId="68" xfId="0" applyFont="1" applyBorder="1" applyAlignment="1">
      <alignment horizontal="center"/>
    </xf>
    <xf numFmtId="0" fontId="19" fillId="0" borderId="0" xfId="0" applyFont="1" applyAlignment="1">
      <alignment horizontal="center"/>
    </xf>
    <xf numFmtId="0" fontId="15" fillId="0" borderId="20"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8"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25" fillId="0" borderId="0" xfId="0" applyFont="1" applyAlignment="1">
      <alignment horizontal="center"/>
    </xf>
    <xf numFmtId="0" fontId="241" fillId="0" borderId="0" xfId="0" applyFont="1" applyAlignment="1">
      <alignment horizontal="center"/>
    </xf>
    <xf numFmtId="0" fontId="242" fillId="0" borderId="0" xfId="0" applyFont="1" applyAlignment="1">
      <alignment horizontal="center" vertical="center"/>
    </xf>
    <xf numFmtId="0" fontId="288" fillId="0" borderId="0" xfId="0" applyFont="1" applyAlignment="1">
      <alignment horizontal="left" vertical="center"/>
    </xf>
    <xf numFmtId="0" fontId="296" fillId="0" borderId="0" xfId="0" applyFont="1" applyAlignment="1">
      <alignment horizontal="left"/>
    </xf>
    <xf numFmtId="0" fontId="243" fillId="0" borderId="0" xfId="0" applyFont="1" applyAlignment="1">
      <alignment horizontal="left" wrapText="1"/>
    </xf>
    <xf numFmtId="0" fontId="288" fillId="0" borderId="0" xfId="0" applyFont="1" applyAlignment="1">
      <alignment horizontal="center" wrapText="1"/>
    </xf>
    <xf numFmtId="0" fontId="243" fillId="0" borderId="11" xfId="0" applyFont="1" applyBorder="1" applyAlignment="1">
      <alignment horizontal="right"/>
    </xf>
    <xf numFmtId="0" fontId="244" fillId="0" borderId="15" xfId="0" applyFont="1" applyBorder="1" applyAlignment="1">
      <alignment horizontal="left" wrapText="1"/>
    </xf>
    <xf numFmtId="3" fontId="15" fillId="0" borderId="20" xfId="1032" applyNumberFormat="1" applyFont="1" applyFill="1" applyBorder="1" applyAlignment="1">
      <alignment horizontal="center" vertical="center" wrapText="1"/>
    </xf>
    <xf numFmtId="3" fontId="15" fillId="0" borderId="48" xfId="1032" applyNumberFormat="1" applyFont="1" applyFill="1" applyBorder="1" applyAlignment="1">
      <alignment horizontal="center" vertical="center" wrapText="1"/>
    </xf>
    <xf numFmtId="262"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1" fontId="15" fillId="0" borderId="0" xfId="1032" applyNumberFormat="1" applyFont="1" applyFill="1" applyAlignment="1">
      <alignment horizontal="center" vertical="center" wrapText="1"/>
    </xf>
    <xf numFmtId="3" fontId="222" fillId="0" borderId="68" xfId="1032" applyNumberFormat="1" applyFont="1" applyFill="1" applyBorder="1" applyAlignment="1">
      <alignment horizontal="center" vertical="center" wrapText="1"/>
    </xf>
    <xf numFmtId="262" fontId="15" fillId="0" borderId="1"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7" xfId="1032" applyNumberFormat="1" applyFont="1" applyFill="1" applyBorder="1" applyAlignment="1">
      <alignment horizontal="center" vertical="center" wrapText="1"/>
    </xf>
    <xf numFmtId="3" fontId="15" fillId="0" borderId="5" xfId="1032" applyNumberFormat="1" applyFont="1" applyFill="1" applyBorder="1" applyAlignment="1">
      <alignment horizontal="center" vertical="center" wrapText="1"/>
    </xf>
    <xf numFmtId="3" fontId="15" fillId="0" borderId="10" xfId="1032" applyNumberFormat="1" applyFont="1" applyFill="1" applyBorder="1" applyAlignment="1">
      <alignment horizontal="center" vertical="center" wrapText="1"/>
    </xf>
    <xf numFmtId="3" fontId="25" fillId="0" borderId="0" xfId="0" applyNumberFormat="1" applyFont="1" applyAlignment="1">
      <alignment horizontal="center" vertical="center" wrapText="1"/>
    </xf>
    <xf numFmtId="3" fontId="15" fillId="0" borderId="1" xfId="0" applyNumberFormat="1" applyFont="1" applyBorder="1" applyAlignment="1">
      <alignment horizontal="center" vertical="center" wrapText="1"/>
    </xf>
    <xf numFmtId="3" fontId="15" fillId="0" borderId="1" xfId="0" applyNumberFormat="1" applyFont="1" applyFill="1" applyBorder="1" applyAlignment="1">
      <alignment horizontal="center" vertical="center" wrapText="1"/>
    </xf>
    <xf numFmtId="3" fontId="19" fillId="0" borderId="0" xfId="0" applyNumberFormat="1" applyFont="1" applyAlignment="1">
      <alignment horizontal="center" vertical="center" wrapText="1"/>
    </xf>
    <xf numFmtId="3" fontId="241" fillId="0" borderId="0" xfId="0" applyNumberFormat="1" applyFont="1" applyAlignment="1">
      <alignment horizontal="center" vertical="center" wrapText="1"/>
    </xf>
    <xf numFmtId="3" fontId="14" fillId="0" borderId="68" xfId="0" applyNumberFormat="1" applyFont="1" applyBorder="1" applyAlignment="1">
      <alignment horizontal="center" vertical="center" wrapText="1"/>
    </xf>
    <xf numFmtId="0" fontId="222" fillId="0" borderId="68" xfId="0" applyFont="1" applyBorder="1" applyAlignment="1">
      <alignment horizontal="center"/>
    </xf>
    <xf numFmtId="0" fontId="25" fillId="0" borderId="0" xfId="0" applyFont="1" applyAlignment="1">
      <alignment horizontal="center" vertical="center"/>
    </xf>
    <xf numFmtId="0" fontId="222" fillId="0" borderId="0" xfId="0" applyFont="1" applyAlignment="1">
      <alignment horizontal="center"/>
    </xf>
    <xf numFmtId="0" fontId="25" fillId="0" borderId="0" xfId="0" applyFont="1" applyAlignment="1">
      <alignment horizontal="left" vertical="top" wrapText="1"/>
    </xf>
    <xf numFmtId="0" fontId="15" fillId="0" borderId="0" xfId="0" applyFont="1" applyAlignment="1">
      <alignment horizontal="right" vertical="top"/>
    </xf>
    <xf numFmtId="0" fontId="15" fillId="0" borderId="1" xfId="0" applyFont="1" applyBorder="1" applyAlignment="1">
      <alignment horizontal="center" vertical="center"/>
    </xf>
    <xf numFmtId="0" fontId="194" fillId="0" borderId="23" xfId="0" applyFont="1" applyBorder="1" applyAlignment="1">
      <alignment horizontal="center" vertical="center" wrapText="1"/>
    </xf>
    <xf numFmtId="0" fontId="194" fillId="0" borderId="7" xfId="0" applyFont="1" applyBorder="1" applyAlignment="1">
      <alignment horizontal="center" vertical="center" wrapText="1"/>
    </xf>
    <xf numFmtId="0" fontId="194" fillId="0" borderId="5" xfId="0" applyFont="1" applyBorder="1" applyAlignment="1">
      <alignment horizontal="center" vertical="center" wrapText="1"/>
    </xf>
    <xf numFmtId="0" fontId="15" fillId="0" borderId="1" xfId="0" applyFont="1" applyBorder="1" applyAlignment="1">
      <alignment horizontal="center"/>
    </xf>
    <xf numFmtId="0" fontId="15" fillId="0" borderId="0" xfId="0" applyFont="1" applyAlignment="1">
      <alignment horizontal="right" vertical="center" wrapText="1"/>
    </xf>
    <xf numFmtId="0" fontId="25" fillId="0" borderId="0" xfId="0" applyFont="1" applyAlignment="1">
      <alignment horizontal="center" vertical="center" wrapText="1"/>
    </xf>
    <xf numFmtId="0" fontId="209" fillId="0" borderId="0" xfId="0" applyFont="1" applyAlignment="1">
      <alignment horizontal="center" vertical="center" wrapText="1"/>
    </xf>
    <xf numFmtId="0" fontId="48" fillId="0" borderId="1" xfId="0" applyFont="1" applyBorder="1" applyAlignment="1">
      <alignment horizontal="center" vertical="center" wrapText="1"/>
    </xf>
    <xf numFmtId="0" fontId="48" fillId="0" borderId="23" xfId="0" applyFont="1" applyBorder="1" applyAlignment="1">
      <alignment horizontal="center" vertical="center" wrapText="1"/>
    </xf>
    <xf numFmtId="0" fontId="48" fillId="0" borderId="5" xfId="0" applyFont="1" applyBorder="1" applyAlignment="1">
      <alignment horizontal="center" vertical="center" wrapText="1"/>
    </xf>
    <xf numFmtId="0" fontId="243" fillId="0" borderId="0" xfId="0" applyFont="1" applyBorder="1" applyAlignment="1">
      <alignment horizontal="left" vertical="center" wrapText="1"/>
    </xf>
    <xf numFmtId="0" fontId="248" fillId="0" borderId="0" xfId="0" applyFont="1" applyAlignment="1">
      <alignment horizontal="center" vertical="center" wrapText="1"/>
    </xf>
    <xf numFmtId="0" fontId="19" fillId="0" borderId="0" xfId="0" applyFont="1" applyAlignment="1">
      <alignment horizontal="right" vertical="center"/>
    </xf>
    <xf numFmtId="0" fontId="244" fillId="0" borderId="5" xfId="0" applyFont="1" applyBorder="1" applyAlignment="1">
      <alignment horizontal="left" vertical="center" wrapText="1"/>
    </xf>
    <xf numFmtId="0" fontId="247" fillId="0" borderId="0" xfId="0" applyFont="1" applyAlignment="1">
      <alignment horizontal="center"/>
    </xf>
    <xf numFmtId="0" fontId="241" fillId="0" borderId="0" xfId="0" applyFont="1" applyBorder="1" applyAlignment="1">
      <alignment horizontal="right" vertical="center"/>
    </xf>
    <xf numFmtId="3" fontId="15" fillId="0" borderId="20" xfId="0" applyNumberFormat="1" applyFont="1" applyBorder="1" applyAlignment="1">
      <alignment horizontal="center" vertical="center" wrapText="1"/>
    </xf>
    <xf numFmtId="3" fontId="15" fillId="0" borderId="10" xfId="0" applyNumberFormat="1" applyFont="1" applyBorder="1" applyAlignment="1">
      <alignment horizontal="center" vertical="center" wrapText="1"/>
    </xf>
    <xf numFmtId="0" fontId="261" fillId="0" borderId="1" xfId="0" applyFont="1" applyBorder="1" applyAlignment="1">
      <alignment horizontal="center" vertical="center" wrapText="1"/>
    </xf>
    <xf numFmtId="0" fontId="260" fillId="0" borderId="0" xfId="0" applyFont="1" applyBorder="1" applyAlignment="1">
      <alignment horizontal="left" vertical="center"/>
    </xf>
    <xf numFmtId="0" fontId="260" fillId="0" borderId="15" xfId="0" applyFont="1" applyBorder="1" applyAlignment="1">
      <alignment horizontal="left" vertical="center"/>
    </xf>
    <xf numFmtId="0" fontId="258" fillId="0" borderId="0" xfId="0" applyFont="1" applyAlignment="1">
      <alignment horizontal="left" vertical="center"/>
    </xf>
    <xf numFmtId="0" fontId="288" fillId="0" borderId="0" xfId="0" applyFont="1" applyAlignment="1">
      <alignment horizontal="center" vertical="center"/>
    </xf>
    <xf numFmtId="0" fontId="262" fillId="0" borderId="0" xfId="0" applyFont="1" applyBorder="1" applyAlignment="1">
      <alignment horizontal="right" vertical="center"/>
    </xf>
    <xf numFmtId="0" fontId="262" fillId="0" borderId="11" xfId="0" applyFont="1" applyBorder="1" applyAlignment="1">
      <alignment horizontal="right" vertical="center"/>
    </xf>
    <xf numFmtId="0" fontId="261" fillId="0" borderId="65" xfId="0" applyFont="1" applyBorder="1" applyAlignment="1">
      <alignment horizontal="center" vertical="center" wrapText="1"/>
    </xf>
    <xf numFmtId="0" fontId="261" fillId="0" borderId="76" xfId="0" applyFont="1" applyBorder="1" applyAlignment="1">
      <alignment horizontal="center" vertical="center" wrapText="1"/>
    </xf>
    <xf numFmtId="0" fontId="261" fillId="0" borderId="75" xfId="0" applyFont="1" applyBorder="1" applyAlignment="1">
      <alignment horizontal="center" vertical="center" wrapText="1"/>
    </xf>
    <xf numFmtId="0" fontId="243" fillId="0" borderId="15" xfId="0" applyFont="1" applyBorder="1" applyAlignment="1">
      <alignment horizontal="left" vertical="center" wrapText="1"/>
    </xf>
    <xf numFmtId="0" fontId="247" fillId="0" borderId="0" xfId="0" applyFont="1" applyAlignment="1">
      <alignment horizontal="center" vertical="center"/>
    </xf>
    <xf numFmtId="0" fontId="244" fillId="0" borderId="0" xfId="0" applyFont="1" applyBorder="1" applyAlignment="1">
      <alignment horizontal="justify" vertical="center" wrapText="1"/>
    </xf>
    <xf numFmtId="0" fontId="243" fillId="0" borderId="0" xfId="0" applyFont="1" applyAlignment="1">
      <alignment horizontal="justify" vertical="center" wrapText="1"/>
    </xf>
    <xf numFmtId="0" fontId="242" fillId="0" borderId="0" xfId="0" applyFont="1" applyAlignment="1">
      <alignment horizontal="center" vertical="center" wrapText="1"/>
    </xf>
    <xf numFmtId="0" fontId="243" fillId="0" borderId="11" xfId="0" applyFont="1" applyBorder="1" applyAlignment="1">
      <alignment horizontal="right" vertical="center"/>
    </xf>
    <xf numFmtId="170" fontId="218" fillId="0" borderId="0" xfId="455" applyNumberFormat="1" applyFont="1" applyBorder="1" applyAlignment="1">
      <alignment horizontal="center" vertical="center" wrapText="1"/>
    </xf>
    <xf numFmtId="0" fontId="15" fillId="0" borderId="14" xfId="0" applyFont="1" applyBorder="1" applyAlignment="1">
      <alignment horizontal="center" vertical="center" wrapText="1"/>
    </xf>
    <xf numFmtId="0" fontId="219" fillId="0" borderId="1" xfId="0" applyFont="1" applyBorder="1" applyAlignment="1">
      <alignment horizontal="center" vertical="center" wrapText="1"/>
    </xf>
    <xf numFmtId="0" fontId="220" fillId="0" borderId="1" xfId="0" applyFont="1" applyBorder="1" applyAlignment="1">
      <alignment horizontal="center" vertical="center" wrapText="1"/>
    </xf>
    <xf numFmtId="0" fontId="219" fillId="30" borderId="63" xfId="0" applyFont="1" applyFill="1" applyBorder="1" applyAlignment="1">
      <alignment horizontal="center" vertical="center" wrapText="1"/>
    </xf>
    <xf numFmtId="0" fontId="217" fillId="0" borderId="0" xfId="0" applyFont="1" applyAlignment="1">
      <alignment horizontal="center" vertical="center" wrapText="1"/>
    </xf>
    <xf numFmtId="0" fontId="199" fillId="0" borderId="0" xfId="0" applyFont="1" applyAlignment="1">
      <alignment horizontal="center" vertical="center" wrapText="1"/>
    </xf>
    <xf numFmtId="261" fontId="220" fillId="0" borderId="1" xfId="0" applyNumberFormat="1" applyFont="1" applyBorder="1" applyAlignment="1">
      <alignment horizontal="center" vertical="center" wrapText="1"/>
    </xf>
    <xf numFmtId="0" fontId="220" fillId="0" borderId="69" xfId="0" applyFont="1" applyBorder="1" applyAlignment="1">
      <alignment horizontal="center" vertical="center" wrapText="1"/>
    </xf>
    <xf numFmtId="0" fontId="220" fillId="0" borderId="70" xfId="0" applyFont="1" applyBorder="1" applyAlignment="1">
      <alignment horizontal="center" vertical="center" wrapText="1"/>
    </xf>
    <xf numFmtId="0" fontId="220" fillId="0" borderId="71" xfId="0" applyFont="1" applyBorder="1" applyAlignment="1">
      <alignment horizontal="center" vertical="center" wrapText="1"/>
    </xf>
    <xf numFmtId="0" fontId="220" fillId="0" borderId="23" xfId="0" applyFont="1" applyBorder="1" applyAlignment="1">
      <alignment horizontal="center" vertical="center" wrapText="1"/>
    </xf>
    <xf numFmtId="0" fontId="220" fillId="0" borderId="7" xfId="0" applyFont="1" applyBorder="1" applyAlignment="1">
      <alignment horizontal="center" vertical="center" wrapText="1"/>
    </xf>
    <xf numFmtId="0" fontId="220" fillId="0" borderId="5" xfId="0" applyFont="1" applyBorder="1" applyAlignment="1">
      <alignment horizontal="center" vertical="center" wrapText="1"/>
    </xf>
    <xf numFmtId="0" fontId="220" fillId="0" borderId="63" xfId="0" applyFont="1" applyBorder="1" applyAlignment="1">
      <alignment horizontal="center" vertical="center" wrapText="1"/>
    </xf>
    <xf numFmtId="0" fontId="220" fillId="0" borderId="0" xfId="0" applyFont="1" applyBorder="1" applyAlignment="1">
      <alignment horizontal="center" vertical="center" wrapText="1"/>
    </xf>
    <xf numFmtId="0" fontId="220" fillId="0" borderId="46" xfId="0" applyFont="1" applyBorder="1" applyAlignment="1">
      <alignment horizontal="center" vertical="center" wrapText="1"/>
    </xf>
    <xf numFmtId="0" fontId="218" fillId="0" borderId="1" xfId="0" applyFont="1" applyBorder="1" applyAlignment="1">
      <alignment horizontal="center" vertical="center" wrapText="1"/>
    </xf>
    <xf numFmtId="261" fontId="218" fillId="0" borderId="1" xfId="0" applyNumberFormat="1" applyFont="1" applyBorder="1" applyAlignment="1">
      <alignment horizontal="center" vertical="center" wrapText="1"/>
    </xf>
    <xf numFmtId="0" fontId="219" fillId="0" borderId="69" xfId="0" applyFont="1" applyBorder="1" applyAlignment="1">
      <alignment horizontal="center" vertical="center" wrapText="1"/>
    </xf>
    <xf numFmtId="0" fontId="219" fillId="0" borderId="70" xfId="0" applyFont="1" applyBorder="1" applyAlignment="1">
      <alignment horizontal="center" vertical="center" wrapText="1"/>
    </xf>
    <xf numFmtId="0" fontId="219" fillId="0" borderId="71" xfId="0" applyFont="1" applyBorder="1" applyAlignment="1">
      <alignment horizontal="center" vertical="center" wrapText="1"/>
    </xf>
    <xf numFmtId="0" fontId="219" fillId="0" borderId="72" xfId="0" applyFont="1" applyBorder="1" applyAlignment="1">
      <alignment horizontal="center" vertical="center" wrapText="1"/>
    </xf>
    <xf numFmtId="0" fontId="219" fillId="0" borderId="68" xfId="0" applyFont="1" applyBorder="1" applyAlignment="1">
      <alignment horizontal="center" vertical="center" wrapText="1"/>
    </xf>
    <xf numFmtId="0" fontId="219" fillId="0" borderId="50" xfId="0" applyFont="1" applyBorder="1" applyAlignment="1">
      <alignment horizontal="center" vertical="center" wrapText="1"/>
    </xf>
    <xf numFmtId="0" fontId="218" fillId="0" borderId="0" xfId="0" applyFont="1" applyAlignment="1">
      <alignment horizontal="center" vertical="center" wrapText="1"/>
    </xf>
    <xf numFmtId="0" fontId="231" fillId="0" borderId="1" xfId="0" applyFont="1" applyBorder="1" applyAlignment="1">
      <alignment horizontal="center" vertical="center" wrapText="1"/>
    </xf>
    <xf numFmtId="261" fontId="229" fillId="0" borderId="1" xfId="0" applyNumberFormat="1" applyFont="1" applyBorder="1" applyAlignment="1">
      <alignment horizontal="center" vertical="center" wrapText="1"/>
    </xf>
  </cellXfs>
  <cellStyles count="1035">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34"/>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33"/>
    <cellStyle name="Normal 7" xfId="704"/>
    <cellStyle name="Normal 7 2" xfId="705"/>
    <cellStyle name="Normal 7_131021 TDT VON DAU TU 2014 (CT MTQG) GUI TONG HOP" xfId="706"/>
    <cellStyle name="Normal 8" xfId="707"/>
    <cellStyle name="Normal 9" xfId="708"/>
    <cellStyle name="Normal_050723 Bieu mau che do chinh sach moi BSMT (tinh Yen Bai)" xfId="709"/>
    <cellStyle name="Normal_060331 Bieu tinh chi thuong xuyen NSDP 2007 theo DM bc TTg" xfId="710"/>
    <cellStyle name="Normal_060719 QN-He thong bieu mau lam du toan chi NSDP Vong I nam 2007 2" xfId="711"/>
    <cellStyle name="Normal_Bieu mau (CV )" xfId="1032"/>
    <cellStyle name="Normal_In brief" xfId="712"/>
    <cellStyle name="Normal_Sheet1" xfId="1031"/>
    <cellStyle name="Normal_Sheet1 2" xfId="713"/>
    <cellStyle name="Normal1" xfId="714"/>
    <cellStyle name="Normal8" xfId="715"/>
    <cellStyle name="Normalny_Cennik obowiazuje od 06-08-2001 r (1)" xfId="716"/>
    <cellStyle name="NWM" xfId="717"/>
    <cellStyle name="Ò_x000d_Normal_123569" xfId="718"/>
    <cellStyle name="Œ…‹æØ‚è [0.00]_laroux" xfId="719"/>
    <cellStyle name="Œ…‹æØ‚è_laroux" xfId="720"/>
    <cellStyle name="oft Excel]_x000d__x000a_Comment=open=/f ‚ðw’è‚·‚é‚ÆAƒ†[ƒU[’è‹`ŠÖ”‚ðŠÖ”“\‚è•t‚¯‚Ìˆê——‚É“o˜^‚·‚é‚±‚Æ‚ª‚Å‚«‚Ü‚·B_x000d__x000a_Maximized" xfId="721"/>
    <cellStyle name="oft Excel]_x000d__x000a_Comment=open=/f ‚ðŽw’è‚·‚é‚ÆAƒ†[ƒU[’è‹`ŠÖ”‚ðŠÖ”“\‚è•t‚¯‚Ìˆê——‚É“o˜^‚·‚é‚±‚Æ‚ª‚Å‚«‚Ü‚·B_x000d__x000a_Maximized" xfId="722"/>
    <cellStyle name="oft Excel]_x000d__x000a_Comment=The open=/f lines load custom functions into the Paste Function list._x000d__x000a_Maximized=2_x000d__x000a_Basics=1_x000d__x000a_A" xfId="723"/>
    <cellStyle name="oft Excel]_x000d__x000a_Comment=The open=/f lines load custom functions into the Paste Function list._x000d__x000a_Maximized=3_x000d__x000a_Basics=1_x000d__x000a_A" xfId="724"/>
    <cellStyle name="omma [0]_Mktg Prog" xfId="725"/>
    <cellStyle name="ormal_Sheet1_1" xfId="726"/>
    <cellStyle name="p" xfId="727"/>
    <cellStyle name="Pattern" xfId="728"/>
    <cellStyle name="per.style" xfId="729"/>
    <cellStyle name="Percent [0]" xfId="730"/>
    <cellStyle name="Percent [00]" xfId="731"/>
    <cellStyle name="Percent [2]" xfId="732"/>
    <cellStyle name="Percent 10" xfId="733"/>
    <cellStyle name="Percent 2" xfId="734"/>
    <cellStyle name="Percent 2 2" xfId="735"/>
    <cellStyle name="Percent 2_Bieu kem de cuong" xfId="736"/>
    <cellStyle name="Percent 3" xfId="737"/>
    <cellStyle name="Percent 6" xfId="738"/>
    <cellStyle name="PERCENTAGE" xfId="739"/>
    <cellStyle name="PrePop Currency (0)" xfId="740"/>
    <cellStyle name="PrePop Currency (2)" xfId="741"/>
    <cellStyle name="PrePop Units (0)" xfId="742"/>
    <cellStyle name="PrePop Units (1)" xfId="743"/>
    <cellStyle name="PrePop Units (2)" xfId="744"/>
    <cellStyle name="pricing" xfId="745"/>
    <cellStyle name="PSChar" xfId="746"/>
    <cellStyle name="PSHeading" xfId="747"/>
    <cellStyle name="Quantity" xfId="748"/>
    <cellStyle name="regstoresfromspecstores" xfId="749"/>
    <cellStyle name="RevList" xfId="750"/>
    <cellStyle name="rlink_tiªn l­în_x001b_Hyperlink_TONG HOP KINH PHI" xfId="751"/>
    <cellStyle name="rmal_ADAdot" xfId="752"/>
    <cellStyle name="S—_x0008_" xfId="753"/>
    <cellStyle name="s]_x000d__x000a_spooler=yes_x000d__x000a_load=_x000d__x000a_Beep=yes_x000d__x000a_NullPort=None_x000d__x000a_BorderWidth=3_x000d__x000a_CursorBlinkRate=1200_x000d__x000a_DoubleClickSpeed=452_x000d__x000a_Programs=co" xfId="754"/>
    <cellStyle name="S—_x0008__160505 BIEU CHI NSDP TREN DAU DAN (BAO GÔM BSCMT)" xfId="755"/>
    <cellStyle name="SAPBEXaggData" xfId="756"/>
    <cellStyle name="SAPBEXaggDataEmph" xfId="757"/>
    <cellStyle name="SAPBEXaggItem" xfId="758"/>
    <cellStyle name="SAPBEXchaText" xfId="759"/>
    <cellStyle name="SAPBEXexcBad7" xfId="760"/>
    <cellStyle name="SAPBEXexcBad8" xfId="761"/>
    <cellStyle name="SAPBEXexcBad9" xfId="762"/>
    <cellStyle name="SAPBEXexcCritical4" xfId="763"/>
    <cellStyle name="SAPBEXexcCritical5" xfId="764"/>
    <cellStyle name="SAPBEXexcCritical6" xfId="765"/>
    <cellStyle name="SAPBEXexcGood1" xfId="766"/>
    <cellStyle name="SAPBEXexcGood2" xfId="767"/>
    <cellStyle name="SAPBEXexcGood3" xfId="768"/>
    <cellStyle name="SAPBEXfilterDrill" xfId="769"/>
    <cellStyle name="SAPBEXfilterItem" xfId="770"/>
    <cellStyle name="SAPBEXfilterText" xfId="771"/>
    <cellStyle name="SAPBEXformats" xfId="772"/>
    <cellStyle name="SAPBEXheaderItem" xfId="773"/>
    <cellStyle name="SAPBEXheaderText" xfId="774"/>
    <cellStyle name="SAPBEXresData" xfId="775"/>
    <cellStyle name="SAPBEXresDataEmph" xfId="776"/>
    <cellStyle name="SAPBEXresItem" xfId="777"/>
    <cellStyle name="SAPBEXstdData" xfId="778"/>
    <cellStyle name="SAPBEXstdDataEmph" xfId="779"/>
    <cellStyle name="SAPBEXstdItem" xfId="780"/>
    <cellStyle name="SAPBEXtitle" xfId="781"/>
    <cellStyle name="SAPBEXundefined" xfId="782"/>
    <cellStyle name="serJet 1200 Series PCL 6" xfId="783"/>
    <cellStyle name="SHADEDSTORES" xfId="784"/>
    <cellStyle name="songuyen" xfId="785"/>
    <cellStyle name="specstores" xfId="786"/>
    <cellStyle name="Standard" xfId="787"/>
    <cellStyle name="STTDG" xfId="788"/>
    <cellStyle name="Style 1" xfId="789"/>
    <cellStyle name="Style 10" xfId="790"/>
    <cellStyle name="Style 11" xfId="791"/>
    <cellStyle name="Style 12" xfId="792"/>
    <cellStyle name="Style 13" xfId="793"/>
    <cellStyle name="Style 14" xfId="794"/>
    <cellStyle name="Style 15" xfId="795"/>
    <cellStyle name="Style 16" xfId="796"/>
    <cellStyle name="Style 17" xfId="797"/>
    <cellStyle name="Style 18" xfId="798"/>
    <cellStyle name="Style 19" xfId="799"/>
    <cellStyle name="Style 2" xfId="800"/>
    <cellStyle name="Style 20" xfId="801"/>
    <cellStyle name="Style 21" xfId="802"/>
    <cellStyle name="Style 22" xfId="803"/>
    <cellStyle name="Style 23" xfId="804"/>
    <cellStyle name="Style 24" xfId="805"/>
    <cellStyle name="Style 25" xfId="806"/>
    <cellStyle name="Style 26" xfId="807"/>
    <cellStyle name="Style 27" xfId="808"/>
    <cellStyle name="Style 28" xfId="809"/>
    <cellStyle name="Style 29" xfId="810"/>
    <cellStyle name="Style 3" xfId="811"/>
    <cellStyle name="Style 30" xfId="812"/>
    <cellStyle name="Style 31" xfId="813"/>
    <cellStyle name="Style 32" xfId="814"/>
    <cellStyle name="Style 33" xfId="815"/>
    <cellStyle name="Style 34" xfId="816"/>
    <cellStyle name="Style 35" xfId="817"/>
    <cellStyle name="Style 36" xfId="818"/>
    <cellStyle name="Style 37" xfId="819"/>
    <cellStyle name="Style 38" xfId="820"/>
    <cellStyle name="Style 39" xfId="821"/>
    <cellStyle name="Style 4" xfId="822"/>
    <cellStyle name="Style 40" xfId="823"/>
    <cellStyle name="Style 41" xfId="824"/>
    <cellStyle name="Style 42" xfId="825"/>
    <cellStyle name="Style 43" xfId="826"/>
    <cellStyle name="Style 44" xfId="827"/>
    <cellStyle name="Style 45" xfId="828"/>
    <cellStyle name="Style 46" xfId="829"/>
    <cellStyle name="Style 47" xfId="830"/>
    <cellStyle name="Style 48" xfId="831"/>
    <cellStyle name="Style 49" xfId="832"/>
    <cellStyle name="Style 5" xfId="833"/>
    <cellStyle name="Style 50" xfId="834"/>
    <cellStyle name="Style 51" xfId="835"/>
    <cellStyle name="Style 52" xfId="836"/>
    <cellStyle name="Style 53" xfId="837"/>
    <cellStyle name="Style 54" xfId="838"/>
    <cellStyle name="Style 55" xfId="839"/>
    <cellStyle name="Style 56" xfId="840"/>
    <cellStyle name="Style 57" xfId="841"/>
    <cellStyle name="Style 58" xfId="842"/>
    <cellStyle name="Style 59" xfId="843"/>
    <cellStyle name="Style 6" xfId="844"/>
    <cellStyle name="Style 60" xfId="845"/>
    <cellStyle name="Style 61" xfId="846"/>
    <cellStyle name="Style 62" xfId="847"/>
    <cellStyle name="Style 63" xfId="848"/>
    <cellStyle name="Style 64" xfId="849"/>
    <cellStyle name="Style 65" xfId="850"/>
    <cellStyle name="Style 66" xfId="851"/>
    <cellStyle name="Style 67" xfId="852"/>
    <cellStyle name="Style 68" xfId="853"/>
    <cellStyle name="Style 69" xfId="854"/>
    <cellStyle name="Style 7" xfId="855"/>
    <cellStyle name="Style 70" xfId="856"/>
    <cellStyle name="Style 71" xfId="857"/>
    <cellStyle name="Style 72" xfId="858"/>
    <cellStyle name="Style 73" xfId="859"/>
    <cellStyle name="Style 74" xfId="860"/>
    <cellStyle name="Style 8" xfId="861"/>
    <cellStyle name="Style 9" xfId="862"/>
    <cellStyle name="Style Date" xfId="863"/>
    <cellStyle name="style_1" xfId="864"/>
    <cellStyle name="subhead" xfId="865"/>
    <cellStyle name="Subtotal" xfId="866"/>
    <cellStyle name="symbol" xfId="867"/>
    <cellStyle name="T" xfId="868"/>
    <cellStyle name="T_50-BB Vung tau 2011" xfId="869"/>
    <cellStyle name="T_50-BB Vung tau 2011_120907 Thu tang them 4500" xfId="870"/>
    <cellStyle name="T_50-BB Vung tau 2011_27-8Tong hop PA uoc 2012-DT 2013 -PA 420.000 ty-490.000 ty chuyen doi" xfId="871"/>
    <cellStyle name="T_bao cao" xfId="872"/>
    <cellStyle name="T_Bao cao so lieu kiem toan nam 2007 sua" xfId="873"/>
    <cellStyle name="T_BBTNG-06" xfId="874"/>
    <cellStyle name="T_BC CTMT-2008 Ttinh" xfId="875"/>
    <cellStyle name="T_Bieu kem cv 1454 ( Ca Mau)" xfId="876"/>
    <cellStyle name="T_Bieu mau danh muc du an thuoc CTMTQG nam 2008" xfId="877"/>
    <cellStyle name="T_Bieu tong hop nhu cau ung 2011 da chon loc -Mien nui" xfId="878"/>
    <cellStyle name="T_Book1" xfId="879"/>
    <cellStyle name="T_Book1_1" xfId="880"/>
    <cellStyle name="T_Book1_1_Bieu tong hop nhu cau ung 2011 da chon loc -Mien nui" xfId="881"/>
    <cellStyle name="T_Book1_1_CPK" xfId="882"/>
    <cellStyle name="T_Book1_1_Luy ke von ung nam 2011 -Thoa gui ngay 12-8-2012" xfId="883"/>
    <cellStyle name="T_Book1_1_Thiet bi" xfId="884"/>
    <cellStyle name="T_Book1_BC NQ11-CP - chinh sua lai" xfId="885"/>
    <cellStyle name="T_Book1_BC NQ11-CP-Quynh sau bieu so3" xfId="886"/>
    <cellStyle name="T_Book1_BC_NQ11-CP_-_Thao_sua_lai" xfId="887"/>
    <cellStyle name="T_Book1_Bieu mau danh muc du an thuoc CTMTQG nam 2008" xfId="888"/>
    <cellStyle name="T_Book1_Bieu tong hop nhu cau ung 2011 da chon loc -Mien nui" xfId="889"/>
    <cellStyle name="T_Book1_Book1" xfId="890"/>
    <cellStyle name="T_Book1_Cong trinh co y kien LD_Dang_NN_2011-Tay nguyen-9-10" xfId="891"/>
    <cellStyle name="T_Book1_CPK" xfId="892"/>
    <cellStyle name="T_Book1_Du an khoi cong moi nam 2010" xfId="893"/>
    <cellStyle name="T_Book1_Hang Tom goi9 9-07(Cau 12 sua)" xfId="894"/>
    <cellStyle name="T_Book1_Ket qua phan bo von nam 2008" xfId="895"/>
    <cellStyle name="T_Book1_KH XDCB_2008 lan 2 sua ngay 10-11" xfId="896"/>
    <cellStyle name="T_Book1_Khoi luong chinh Hang Tom" xfId="897"/>
    <cellStyle name="T_Book1_Luy ke von ung nam 2011 -Thoa gui ngay 12-8-2012" xfId="898"/>
    <cellStyle name="T_Book1_Nhu cau von ung truoc 2011 Tha h Hoa + Nge An gui TW" xfId="899"/>
    <cellStyle name="T_Book1_phu luc tong ket tinh hinh TH giai doan 03-10 (ngay 30)" xfId="900"/>
    <cellStyle name="T_Book1_TH Ket qua thao luan nam 2015 - Vong 1- TCT (Nhan)" xfId="901"/>
    <cellStyle name="T_Book1_TH ung tren 70%-Ra soat phap ly-8-6 (dung de chuyen vao vu TH)" xfId="902"/>
    <cellStyle name="T_Book1_TH y kien LD_KH 2010 Ca Nuoc 22-9-2011-Gui ca Vu" xfId="903"/>
    <cellStyle name="T_Book1_Thiet bi" xfId="904"/>
    <cellStyle name="T_Book1_TN - Ho tro khac 2011" xfId="905"/>
    <cellStyle name="T_Book1_ung truoc 2011 NSTW Thanh Hoa + Nge An gui Thu 12-5" xfId="906"/>
    <cellStyle name="T_Chuan bi dau tu nam 2008" xfId="907"/>
    <cellStyle name="T_Copy of Bao cao  XDCB 7 thang nam 2008_So KH&amp;DT SUA" xfId="908"/>
    <cellStyle name="T_CPK" xfId="909"/>
    <cellStyle name="T_CTMTQG 2008" xfId="910"/>
    <cellStyle name="T_CTMTQG 2008_Bieu mau danh muc du an thuoc CTMTQG nam 2008" xfId="911"/>
    <cellStyle name="T_CTMTQG 2008_Hi-Tong hop KQ phan bo KH nam 08- LD fong giao 15-11-08" xfId="912"/>
    <cellStyle name="T_CTMTQG 2008_Ket qua thuc hien nam 2008" xfId="913"/>
    <cellStyle name="T_CTMTQG 2008_KH XDCB_2008 lan 1" xfId="914"/>
    <cellStyle name="T_CTMTQG 2008_KH XDCB_2008 lan 1 sua ngay 27-10" xfId="915"/>
    <cellStyle name="T_CTMTQG 2008_KH XDCB_2008 lan 2 sua ngay 10-11" xfId="916"/>
    <cellStyle name="T_Du an khoi cong moi nam 2010" xfId="917"/>
    <cellStyle name="T_DU AN TKQH VA CHUAN BI DAU TU NAM 2007 sua ngay 9-11" xfId="918"/>
    <cellStyle name="T_DU AN TKQH VA CHUAN BI DAU TU NAM 2007 sua ngay 9-11_Bieu mau danh muc du an thuoc CTMTQG nam 2008" xfId="919"/>
    <cellStyle name="T_DU AN TKQH VA CHUAN BI DAU TU NAM 2007 sua ngay 9-11_Du an khoi cong moi nam 2010" xfId="920"/>
    <cellStyle name="T_DU AN TKQH VA CHUAN BI DAU TU NAM 2007 sua ngay 9-11_Ket qua phan bo von nam 2008" xfId="921"/>
    <cellStyle name="T_DU AN TKQH VA CHUAN BI DAU TU NAM 2007 sua ngay 9-11_KH XDCB_2008 lan 2 sua ngay 10-11" xfId="922"/>
    <cellStyle name="T_du toan dieu chinh  20-8-2006" xfId="923"/>
    <cellStyle name="T_Ho so DT thu NSNN nam 2014 (V1)" xfId="924"/>
    <cellStyle name="T_Ht-PTq1-03" xfId="925"/>
    <cellStyle name="T_Ke hoach KTXH  nam 2009_PKT thang 11 nam 2008" xfId="926"/>
    <cellStyle name="T_Ket qua dau thau" xfId="927"/>
    <cellStyle name="T_Ket qua phan bo von nam 2008" xfId="928"/>
    <cellStyle name="T_KH XDCB_2008 lan 2 sua ngay 10-11" xfId="929"/>
    <cellStyle name="T_Me_Tri_6_07" xfId="930"/>
    <cellStyle name="T_N2 thay dat (N1-1)" xfId="931"/>
    <cellStyle name="T_Phuong an can doi nam 2008" xfId="932"/>
    <cellStyle name="T_Seagame(BTL)" xfId="933"/>
    <cellStyle name="T_So GTVT" xfId="934"/>
    <cellStyle name="T_TDT + duong(8-5-07)" xfId="935"/>
    <cellStyle name="T_tham_tra_du_toan" xfId="936"/>
    <cellStyle name="T_Thiet bi" xfId="937"/>
    <cellStyle name="T_TK_HT" xfId="938"/>
    <cellStyle name="T_ÿÿÿÿÿ" xfId="939"/>
    <cellStyle name="Text Indent A" xfId="940"/>
    <cellStyle name="Text Indent B" xfId="941"/>
    <cellStyle name="Text Indent C" xfId="942"/>
    <cellStyle name="th" xfId="943"/>
    <cellStyle name="than" xfId="944"/>
    <cellStyle name="þ_x001d_ð¤_x000c_¯þ_x0014__x000d_¨þU_x0001_À_x0004_ _x0015__x000f__x0001__x0001_" xfId="945"/>
    <cellStyle name="þ_x001d_ð·_x000c_æþ'_x000d_ßþU_x0001_Ø_x0005_ü_x0014__x0007__x0001__x0001_" xfId="946"/>
    <cellStyle name="þ_x001d_ðÇ%Uý—&amp;Hý9_x0008_Ÿ s_x000a__x0007__x0001__x0001_" xfId="947"/>
    <cellStyle name="þ_x001d_ðK_x000c_Fý_x001b__x000d_9ýU_x0001_Ð_x0008_¦)_x0007__x0001__x0001_" xfId="948"/>
    <cellStyle name="thuong-10" xfId="949"/>
    <cellStyle name="thuong-11" xfId="950"/>
    <cellStyle name="Thuyet minh" xfId="951"/>
    <cellStyle name="Tien1" xfId="952"/>
    <cellStyle name="Tieu_de_2" xfId="953"/>
    <cellStyle name="Times New Roman" xfId="954"/>
    <cellStyle name="tit1" xfId="955"/>
    <cellStyle name="tit2" xfId="956"/>
    <cellStyle name="tit3" xfId="957"/>
    <cellStyle name="tit4" xfId="958"/>
    <cellStyle name="Tongcong" xfId="959"/>
    <cellStyle name="trang" xfId="960"/>
    <cellStyle name="tt1" xfId="961"/>
    <cellStyle name="Tusental (0)_pldt" xfId="962"/>
    <cellStyle name="Tusental_pldt" xfId="963"/>
    <cellStyle name="ux_3_¼­¿ï-¾È»ê" xfId="964"/>
    <cellStyle name="Valuta (0)_pldt" xfId="965"/>
    <cellStyle name="Valuta_pldt" xfId="966"/>
    <cellStyle name="VANG1" xfId="967"/>
    <cellStyle name="viet" xfId="968"/>
    <cellStyle name="viet2" xfId="969"/>
    <cellStyle name="VN new romanNormal" xfId="970"/>
    <cellStyle name="Vn Time 13" xfId="971"/>
    <cellStyle name="Vn Time 14" xfId="972"/>
    <cellStyle name="VN time new roman" xfId="973"/>
    <cellStyle name="vnbo" xfId="974"/>
    <cellStyle name="vnhead1" xfId="975"/>
    <cellStyle name="vnhead2" xfId="976"/>
    <cellStyle name="vnhead3" xfId="977"/>
    <cellStyle name="vnhead4" xfId="978"/>
    <cellStyle name="vntxt1" xfId="979"/>
    <cellStyle name="vntxt2" xfId="980"/>
    <cellStyle name="W?hrung [0]_35ERI8T2gbIEMixb4v26icuOo" xfId="981"/>
    <cellStyle name="W?hrung_35ERI8T2gbIEMixb4v26icuOo" xfId="982"/>
    <cellStyle name="Währung [0]_ALLE_ITEMS_280800_EV_NL" xfId="983"/>
    <cellStyle name="Währung_AKE_100N" xfId="984"/>
    <cellStyle name="Walutowy [0]_Invoices2001Slovakia" xfId="985"/>
    <cellStyle name="Walutowy_Invoices2001Slovakia" xfId="986"/>
    <cellStyle name="wrap" xfId="987"/>
    <cellStyle name="Wไhrung [0]_35ERI8T2gbIEMixb4v26icuOo" xfId="988"/>
    <cellStyle name="Wไhrung_35ERI8T2gbIEMixb4v26icuOo" xfId="989"/>
    <cellStyle name="xuan" xfId="990"/>
    <cellStyle name="y" xfId="991"/>
    <cellStyle name="Ý kh¸c_B¶ng 1 (2)" xfId="992"/>
    <cellStyle name="เครื่องหมายสกุลเงิน [0]_FTC_OFFER" xfId="993"/>
    <cellStyle name="เครื่องหมายสกุลเงิน_FTC_OFFER" xfId="994"/>
    <cellStyle name="ปกติ_FTC_OFFER" xfId="995"/>
    <cellStyle name=" [0.00]_ Att. 1- Cover" xfId="996"/>
    <cellStyle name="_ Att. 1- Cover" xfId="997"/>
    <cellStyle name="?_ Att. 1- Cover" xfId="998"/>
    <cellStyle name="똿뗦먛귟 [0.00]_PRODUCT DETAIL Q1" xfId="999"/>
    <cellStyle name="똿뗦먛귟_PRODUCT DETAIL Q1" xfId="1000"/>
    <cellStyle name="믅됞 [0.00]_PRODUCT DETAIL Q1" xfId="1001"/>
    <cellStyle name="믅됞_PRODUCT DETAIL Q1" xfId="1002"/>
    <cellStyle name="백분율_††††† " xfId="1003"/>
    <cellStyle name="뷭?_BOOKSHIP" xfId="1004"/>
    <cellStyle name="안건회계법인" xfId="1005"/>
    <cellStyle name="콤마 [ - 유형1" xfId="1006"/>
    <cellStyle name="콤마 [ - 유형2" xfId="1007"/>
    <cellStyle name="콤마 [ - 유형3" xfId="1008"/>
    <cellStyle name="콤마 [ - 유형4" xfId="1009"/>
    <cellStyle name="콤마 [ - 유형5" xfId="1010"/>
    <cellStyle name="콤마 [ - 유형6" xfId="1011"/>
    <cellStyle name="콤마 [ - 유형7" xfId="1012"/>
    <cellStyle name="콤마 [ - 유형8" xfId="1013"/>
    <cellStyle name="콤마 [0]_ 비목별 월별기술 " xfId="1014"/>
    <cellStyle name="콤마_ 비목별 월별기술 " xfId="1015"/>
    <cellStyle name="통화 [0]_††††† " xfId="1016"/>
    <cellStyle name="통화_††††† " xfId="1017"/>
    <cellStyle name="표준_ 97년 경영분석(안)" xfId="1018"/>
    <cellStyle name="표줠_Sheet1_1_총괄표 (수출입) (2)" xfId="1019"/>
    <cellStyle name="一般_00Q3902REV.1" xfId="1020"/>
    <cellStyle name="千分位[0]_00Q3902REV.1" xfId="1021"/>
    <cellStyle name="千分位_00Q3902REV.1" xfId="1022"/>
    <cellStyle name="桁区切り [0.00]_BE-BQ" xfId="1023"/>
    <cellStyle name="桁区切り_BE-BQ" xfId="1024"/>
    <cellStyle name="標準_(A1)BOQ " xfId="1025"/>
    <cellStyle name="貨幣 [0]_00Q3902REV.1" xfId="1026"/>
    <cellStyle name="貨幣[0]_BRE" xfId="1027"/>
    <cellStyle name="貨幣_00Q3902REV.1" xfId="1028"/>
    <cellStyle name="通貨 [0.00]_BE-BQ" xfId="1029"/>
    <cellStyle name="通貨_BE-BQ" xfId="10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6</xdr:col>
      <xdr:colOff>666750</xdr:colOff>
      <xdr:row>21</xdr:row>
      <xdr:rowOff>219075</xdr:rowOff>
    </xdr:from>
    <xdr:to>
      <xdr:col>8</xdr:col>
      <xdr:colOff>57150</xdr:colOff>
      <xdr:row>21</xdr:row>
      <xdr:rowOff>247650</xdr:rowOff>
    </xdr:to>
    <xdr:sp macro="" textlink="">
      <xdr:nvSpPr>
        <xdr:cNvPr id="24724" name="Line 1"/>
        <xdr:cNvSpPr>
          <a:spLocks noChangeShapeType="1"/>
        </xdr:cNvSpPr>
      </xdr:nvSpPr>
      <xdr:spPr bwMode="auto">
        <a:xfrm>
          <a:off x="11468100" y="7067550"/>
          <a:ext cx="1695450" cy="28575"/>
        </a:xfrm>
        <a:prstGeom prst="line">
          <a:avLst/>
        </a:prstGeom>
        <a:noFill/>
        <a:ln w="9525">
          <a:solidFill>
            <a:srgbClr val="000000"/>
          </a:solidFill>
          <a:round/>
          <a:headEnd/>
          <a:tailEnd type="triangle" w="med" len="med"/>
        </a:ln>
      </xdr:spPr>
    </xdr:sp>
    <xdr:clientData/>
  </xdr:twoCellAnchor>
  <xdr:twoCellAnchor>
    <xdr:from>
      <xdr:col>4</xdr:col>
      <xdr:colOff>409575</xdr:colOff>
      <xdr:row>7</xdr:row>
      <xdr:rowOff>390525</xdr:rowOff>
    </xdr:from>
    <xdr:to>
      <xdr:col>7</xdr:col>
      <xdr:colOff>533400</xdr:colOff>
      <xdr:row>8</xdr:row>
      <xdr:rowOff>0</xdr:rowOff>
    </xdr:to>
    <xdr:sp macro="" textlink="">
      <xdr:nvSpPr>
        <xdr:cNvPr id="24725" name="Line 3"/>
        <xdr:cNvSpPr>
          <a:spLocks noChangeShapeType="1"/>
        </xdr:cNvSpPr>
      </xdr:nvSpPr>
      <xdr:spPr bwMode="auto">
        <a:xfrm flipV="1">
          <a:off x="8334375" y="2952750"/>
          <a:ext cx="4438650" cy="47625"/>
        </a:xfrm>
        <a:prstGeom prst="line">
          <a:avLst/>
        </a:prstGeom>
        <a:noFill/>
        <a:ln w="9525">
          <a:solidFill>
            <a:srgbClr val="00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y%20D\Xuan%20Van\DT%20nam%202018\DT%20tinh%202018\Chiet%20tinh%20du%20toan%20nam%2020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ay%20D\Xuan%20Van\DT%20nam%202018\DT%20tinh%202018\Khoi%20tinh-01-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uianhvan\Desktop\Du%20toan%20so%20bo%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lam phat"/>
      <sheetName val="10%"/>
      <sheetName val="HDND"/>
      <sheetName val="Can doi"/>
      <sheetName val="MT2012"/>
      <sheetName val="Sheet1"/>
      <sheetName val="DT2015 HDND"/>
      <sheetName val="BSMT-HDND"/>
      <sheetName val="MT UBND"/>
      <sheetName val="DT 2018"/>
      <sheetName val="Tong CTX"/>
      <sheetName val="GOC"/>
      <sheetName val="TK"/>
      <sheetName val="HA"/>
      <sheetName val="ĐB"/>
      <sheetName val="DX"/>
      <sheetName val="ĐL"/>
      <sheetName val="NT"/>
      <sheetName val="TB"/>
      <sheetName val="PN"/>
      <sheetName val="QS"/>
      <sheetName val="NS"/>
      <sheetName val="TP"/>
      <sheetName val="HĐ"/>
      <sheetName val="NG"/>
      <sheetName val="PS"/>
      <sheetName val="ĐG"/>
      <sheetName val="TG"/>
      <sheetName val="BTM"/>
      <sheetName val="NTM"/>
      <sheetName val="Sheet21"/>
      <sheetName val="MT 2013"/>
      <sheetName val="Sheet4"/>
      <sheetName val="ngang"/>
      <sheetName val="doc"/>
      <sheetName val="Sheet3"/>
      <sheetName val="Can doi 2018"/>
      <sheetName val="Chi tiet2018"/>
      <sheetName val="MT2018"/>
      <sheetName val="Sheet2"/>
      <sheetName val="MT2017"/>
      <sheetName val="MT HDND"/>
      <sheetName val="DT HDND"/>
      <sheetName val="CTX"/>
    </sheetNames>
    <sheetDataSet>
      <sheetData sheetId="0"/>
      <sheetData sheetId="1"/>
      <sheetData sheetId="2"/>
      <sheetData sheetId="3"/>
      <sheetData sheetId="4"/>
      <sheetData sheetId="5"/>
      <sheetData sheetId="6"/>
      <sheetData sheetId="7"/>
      <sheetData sheetId="8"/>
      <sheetData sheetId="9">
        <row r="3">
          <cell r="E3">
            <v>671982</v>
          </cell>
          <cell r="F3">
            <v>680414</v>
          </cell>
          <cell r="G3">
            <v>903569</v>
          </cell>
          <cell r="H3">
            <v>574881</v>
          </cell>
          <cell r="I3">
            <v>704473</v>
          </cell>
          <cell r="J3">
            <v>640375</v>
          </cell>
          <cell r="K3">
            <v>725190</v>
          </cell>
          <cell r="L3">
            <v>356189</v>
          </cell>
          <cell r="M3">
            <v>485960</v>
          </cell>
          <cell r="N3">
            <v>233859</v>
          </cell>
          <cell r="O3">
            <v>423279</v>
          </cell>
          <cell r="P3">
            <v>314073</v>
          </cell>
          <cell r="Q3">
            <v>338873</v>
          </cell>
          <cell r="R3">
            <v>272482</v>
          </cell>
          <cell r="S3">
            <v>252443</v>
          </cell>
          <cell r="T3">
            <v>306642</v>
          </cell>
          <cell r="U3">
            <v>366873</v>
          </cell>
          <cell r="V3">
            <v>319396</v>
          </cell>
        </row>
        <row r="6">
          <cell r="E6">
            <v>24090</v>
          </cell>
          <cell r="F6">
            <v>19690</v>
          </cell>
          <cell r="G6">
            <v>26950</v>
          </cell>
          <cell r="H6">
            <v>17050</v>
          </cell>
          <cell r="I6">
            <v>21120</v>
          </cell>
          <cell r="J6">
            <v>44110</v>
          </cell>
          <cell r="K6">
            <v>23430</v>
          </cell>
          <cell r="L6">
            <v>16060</v>
          </cell>
          <cell r="M6">
            <v>16060</v>
          </cell>
          <cell r="N6">
            <v>16060</v>
          </cell>
          <cell r="O6">
            <v>16060</v>
          </cell>
          <cell r="P6">
            <v>16060</v>
          </cell>
          <cell r="Q6">
            <v>19580</v>
          </cell>
          <cell r="R6">
            <v>17710</v>
          </cell>
          <cell r="S6">
            <v>16170</v>
          </cell>
          <cell r="T6">
            <v>17160</v>
          </cell>
          <cell r="U6">
            <v>17710</v>
          </cell>
          <cell r="V6">
            <v>17930</v>
          </cell>
        </row>
        <row r="10">
          <cell r="E10">
            <v>23953</v>
          </cell>
          <cell r="F10">
            <v>43615</v>
          </cell>
          <cell r="G10">
            <v>37468</v>
          </cell>
          <cell r="H10">
            <v>13385</v>
          </cell>
          <cell r="I10">
            <v>14324</v>
          </cell>
          <cell r="J10">
            <v>38145</v>
          </cell>
          <cell r="K10">
            <v>20608</v>
          </cell>
          <cell r="L10">
            <v>12039</v>
          </cell>
          <cell r="M10">
            <v>22698</v>
          </cell>
          <cell r="N10">
            <v>12227</v>
          </cell>
          <cell r="O10">
            <v>21224</v>
          </cell>
          <cell r="P10">
            <v>20255</v>
          </cell>
          <cell r="Q10">
            <v>34249</v>
          </cell>
          <cell r="R10">
            <v>14150</v>
          </cell>
          <cell r="S10">
            <v>10714</v>
          </cell>
          <cell r="T10">
            <v>18907</v>
          </cell>
          <cell r="U10">
            <v>17118</v>
          </cell>
          <cell r="V10">
            <v>22009</v>
          </cell>
        </row>
        <row r="13">
          <cell r="E13">
            <v>0</v>
          </cell>
          <cell r="F13">
            <v>800</v>
          </cell>
          <cell r="G13">
            <v>0</v>
          </cell>
          <cell r="H13">
            <v>0</v>
          </cell>
          <cell r="I13">
            <v>2000</v>
          </cell>
          <cell r="J13">
            <v>0</v>
          </cell>
          <cell r="K13">
            <v>4990</v>
          </cell>
          <cell r="L13">
            <v>0</v>
          </cell>
          <cell r="M13">
            <v>0</v>
          </cell>
          <cell r="N13">
            <v>0</v>
          </cell>
          <cell r="O13">
            <v>4500</v>
          </cell>
          <cell r="P13">
            <v>500</v>
          </cell>
          <cell r="Q13">
            <v>1500</v>
          </cell>
          <cell r="R13">
            <v>0</v>
          </cell>
          <cell r="S13">
            <v>0</v>
          </cell>
          <cell r="T13">
            <v>800</v>
          </cell>
          <cell r="U13">
            <v>500</v>
          </cell>
          <cell r="V13">
            <v>0</v>
          </cell>
        </row>
        <row r="17">
          <cell r="E17">
            <v>0</v>
          </cell>
          <cell r="F17">
            <v>0</v>
          </cell>
          <cell r="G17">
            <v>4000</v>
          </cell>
          <cell r="H17">
            <v>0</v>
          </cell>
          <cell r="I17">
            <v>25000</v>
          </cell>
          <cell r="J17">
            <v>4000</v>
          </cell>
          <cell r="K17">
            <v>0</v>
          </cell>
          <cell r="L17">
            <v>8000</v>
          </cell>
          <cell r="M17">
            <v>20000</v>
          </cell>
          <cell r="N17">
            <v>4000</v>
          </cell>
          <cell r="O17">
            <v>0</v>
          </cell>
          <cell r="P17">
            <v>0</v>
          </cell>
          <cell r="Q17">
            <v>17510</v>
          </cell>
          <cell r="R17">
            <v>0</v>
          </cell>
          <cell r="S17">
            <v>0</v>
          </cell>
          <cell r="T17">
            <v>0</v>
          </cell>
          <cell r="U17">
            <v>0</v>
          </cell>
          <cell r="V17">
            <v>25000</v>
          </cell>
        </row>
        <row r="19">
          <cell r="E19">
            <v>0</v>
          </cell>
          <cell r="F19">
            <v>25000</v>
          </cell>
          <cell r="G19">
            <v>15000</v>
          </cell>
          <cell r="H19">
            <v>2500</v>
          </cell>
          <cell r="I19">
            <v>0</v>
          </cell>
          <cell r="J19">
            <v>0</v>
          </cell>
          <cell r="K19">
            <v>0</v>
          </cell>
          <cell r="L19">
            <v>0</v>
          </cell>
          <cell r="M19">
            <v>0</v>
          </cell>
          <cell r="N19">
            <v>0</v>
          </cell>
          <cell r="O19">
            <v>0</v>
          </cell>
          <cell r="P19">
            <v>0</v>
          </cell>
          <cell r="Q19">
            <v>0</v>
          </cell>
          <cell r="R19">
            <v>0</v>
          </cell>
          <cell r="S19">
            <v>0</v>
          </cell>
          <cell r="T19">
            <v>0</v>
          </cell>
          <cell r="U19">
            <v>0</v>
          </cell>
          <cell r="V19">
            <v>0</v>
          </cell>
        </row>
        <row r="23">
          <cell r="E23">
            <v>170000</v>
          </cell>
          <cell r="F23">
            <v>180000</v>
          </cell>
          <cell r="G23">
            <v>70000</v>
          </cell>
          <cell r="H23">
            <v>15000</v>
          </cell>
          <cell r="I23">
            <v>25000</v>
          </cell>
          <cell r="J23">
            <v>10000</v>
          </cell>
          <cell r="K23">
            <v>20000</v>
          </cell>
          <cell r="L23">
            <v>13500</v>
          </cell>
          <cell r="M23">
            <v>5500</v>
          </cell>
          <cell r="N23">
            <v>3200</v>
          </cell>
          <cell r="O23">
            <v>5000</v>
          </cell>
          <cell r="P23">
            <v>1500</v>
          </cell>
          <cell r="Q23">
            <v>1500</v>
          </cell>
          <cell r="R23">
            <v>1000</v>
          </cell>
          <cell r="S23">
            <v>3000</v>
          </cell>
          <cell r="T23">
            <v>300</v>
          </cell>
          <cell r="U23">
            <v>5000</v>
          </cell>
          <cell r="V23">
            <v>7000</v>
          </cell>
        </row>
        <row r="77">
          <cell r="E77">
            <v>170</v>
          </cell>
          <cell r="F77">
            <v>170</v>
          </cell>
          <cell r="G77">
            <v>150</v>
          </cell>
          <cell r="H77">
            <v>130</v>
          </cell>
          <cell r="I77">
            <v>150</v>
          </cell>
          <cell r="J77">
            <v>170</v>
          </cell>
          <cell r="K77">
            <v>120</v>
          </cell>
          <cell r="L77">
            <v>120</v>
          </cell>
          <cell r="M77">
            <v>140</v>
          </cell>
          <cell r="N77">
            <v>170</v>
          </cell>
          <cell r="O77">
            <v>140</v>
          </cell>
          <cell r="P77">
            <v>150</v>
          </cell>
          <cell r="Q77">
            <v>120</v>
          </cell>
          <cell r="R77">
            <v>100</v>
          </cell>
          <cell r="S77">
            <v>150</v>
          </cell>
          <cell r="T77">
            <v>150</v>
          </cell>
          <cell r="U77">
            <v>130</v>
          </cell>
          <cell r="V77">
            <v>120</v>
          </cell>
        </row>
        <row r="79">
          <cell r="E79">
            <v>6740</v>
          </cell>
          <cell r="F79">
            <v>6032</v>
          </cell>
          <cell r="G79">
            <v>10050</v>
          </cell>
          <cell r="H79">
            <v>7988</v>
          </cell>
          <cell r="I79">
            <v>9084</v>
          </cell>
          <cell r="J79">
            <v>8823</v>
          </cell>
          <cell r="K79">
            <v>9659</v>
          </cell>
          <cell r="L79">
            <v>4556</v>
          </cell>
          <cell r="M79">
            <v>6048</v>
          </cell>
          <cell r="N79">
            <v>2850</v>
          </cell>
          <cell r="O79">
            <v>5651</v>
          </cell>
          <cell r="P79">
            <v>4193</v>
          </cell>
          <cell r="Q79">
            <v>4357</v>
          </cell>
          <cell r="R79">
            <v>3879</v>
          </cell>
          <cell r="S79">
            <v>3335</v>
          </cell>
          <cell r="T79">
            <v>4122</v>
          </cell>
          <cell r="U79">
            <v>5210</v>
          </cell>
          <cell r="V79">
            <v>3667</v>
          </cell>
        </row>
        <row r="83">
          <cell r="E83">
            <v>20442</v>
          </cell>
          <cell r="F83">
            <v>20663</v>
          </cell>
          <cell r="G83">
            <v>48029</v>
          </cell>
          <cell r="H83">
            <v>18451</v>
          </cell>
          <cell r="I83">
            <v>0</v>
          </cell>
          <cell r="J83">
            <v>25373</v>
          </cell>
          <cell r="K83">
            <v>9244</v>
          </cell>
          <cell r="L83">
            <v>2876</v>
          </cell>
          <cell r="M83">
            <v>0</v>
          </cell>
          <cell r="N83">
            <v>1418</v>
          </cell>
          <cell r="O83">
            <v>102</v>
          </cell>
          <cell r="P83">
            <v>0</v>
          </cell>
          <cell r="Q83">
            <v>6203</v>
          </cell>
          <cell r="R83">
            <v>0</v>
          </cell>
          <cell r="S83">
            <v>2602</v>
          </cell>
          <cell r="T83">
            <v>0</v>
          </cell>
          <cell r="U83">
            <v>0</v>
          </cell>
          <cell r="V83">
            <v>0</v>
          </cell>
        </row>
        <row r="99">
          <cell r="E99">
            <v>1236</v>
          </cell>
          <cell r="F99">
            <v>1307</v>
          </cell>
          <cell r="G99">
            <v>6714</v>
          </cell>
          <cell r="H99">
            <v>5804</v>
          </cell>
          <cell r="I99">
            <v>8470</v>
          </cell>
          <cell r="J99">
            <v>4450</v>
          </cell>
          <cell r="K99">
            <v>8302</v>
          </cell>
          <cell r="L99">
            <v>2369</v>
          </cell>
          <cell r="M99">
            <v>5102</v>
          </cell>
          <cell r="N99">
            <v>2685</v>
          </cell>
          <cell r="O99">
            <v>3609</v>
          </cell>
          <cell r="P99">
            <v>2527</v>
          </cell>
          <cell r="Q99">
            <v>4043</v>
          </cell>
          <cell r="R99">
            <v>2715</v>
          </cell>
          <cell r="S99">
            <v>2777</v>
          </cell>
          <cell r="T99">
            <v>2708</v>
          </cell>
          <cell r="U99">
            <v>5236</v>
          </cell>
          <cell r="V99">
            <v>4491</v>
          </cell>
        </row>
        <row r="101">
          <cell r="E101">
            <v>425521</v>
          </cell>
          <cell r="F101">
            <v>383307</v>
          </cell>
          <cell r="G101">
            <v>685358</v>
          </cell>
          <cell r="H101">
            <v>494703</v>
          </cell>
          <cell r="I101">
            <v>599475</v>
          </cell>
          <cell r="J101">
            <v>505474</v>
          </cell>
          <cell r="K101">
            <v>628957</v>
          </cell>
          <cell r="L101">
            <v>296789</v>
          </cell>
          <cell r="M101">
            <v>410552</v>
          </cell>
          <cell r="N101">
            <v>191419</v>
          </cell>
          <cell r="O101">
            <v>367133</v>
          </cell>
          <cell r="P101">
            <v>269038</v>
          </cell>
          <cell r="Q101">
            <v>249931</v>
          </cell>
          <cell r="R101">
            <v>233028</v>
          </cell>
          <cell r="S101">
            <v>213845</v>
          </cell>
          <cell r="T101">
            <v>262645</v>
          </cell>
          <cell r="U101">
            <v>316099</v>
          </cell>
          <cell r="V101">
            <v>239299</v>
          </cell>
        </row>
        <row r="102">
          <cell r="E102">
            <v>170107</v>
          </cell>
          <cell r="F102">
            <v>150197</v>
          </cell>
          <cell r="G102">
            <v>286063</v>
          </cell>
          <cell r="H102">
            <v>237025</v>
          </cell>
          <cell r="I102">
            <v>287391</v>
          </cell>
          <cell r="J102">
            <v>240133</v>
          </cell>
          <cell r="K102">
            <v>331156</v>
          </cell>
          <cell r="L102">
            <v>132900</v>
          </cell>
          <cell r="M102">
            <v>185897</v>
          </cell>
          <cell r="N102">
            <v>72076</v>
          </cell>
          <cell r="O102">
            <v>173120</v>
          </cell>
          <cell r="P102">
            <v>117601</v>
          </cell>
          <cell r="Q102">
            <v>104432</v>
          </cell>
          <cell r="R102">
            <v>95977</v>
          </cell>
          <cell r="S102">
            <v>86204</v>
          </cell>
          <cell r="T102">
            <v>109213</v>
          </cell>
          <cell r="U102">
            <v>168006</v>
          </cell>
          <cell r="V102">
            <v>120527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4">
          <cell r="C4">
            <v>2374874</v>
          </cell>
        </row>
        <row r="5">
          <cell r="D5">
            <v>93625</v>
          </cell>
          <cell r="E5">
            <v>53378</v>
          </cell>
          <cell r="F5">
            <v>182701</v>
          </cell>
          <cell r="G5">
            <v>136437</v>
          </cell>
          <cell r="H5">
            <v>171455</v>
          </cell>
          <cell r="I5">
            <v>129385</v>
          </cell>
          <cell r="J5">
            <v>167286</v>
          </cell>
          <cell r="K5">
            <v>83748</v>
          </cell>
          <cell r="L5">
            <v>132938</v>
          </cell>
          <cell r="M5">
            <v>65190</v>
          </cell>
          <cell r="N5">
            <v>102678</v>
          </cell>
          <cell r="O5">
            <v>78358</v>
          </cell>
          <cell r="P5">
            <v>70873</v>
          </cell>
          <cell r="Q5">
            <v>55656</v>
          </cell>
          <cell r="R5">
            <v>63446</v>
          </cell>
          <cell r="S5">
            <v>78518</v>
          </cell>
          <cell r="T5">
            <v>96735</v>
          </cell>
          <cell r="U5">
            <v>79629</v>
          </cell>
        </row>
        <row r="120">
          <cell r="D120">
            <v>0</v>
          </cell>
          <cell r="E120">
            <v>0</v>
          </cell>
          <cell r="F120">
            <v>0</v>
          </cell>
          <cell r="G120">
            <v>0</v>
          </cell>
          <cell r="H120">
            <v>1920</v>
          </cell>
          <cell r="I120">
            <v>0</v>
          </cell>
          <cell r="J120">
            <v>0</v>
          </cell>
          <cell r="K120">
            <v>0</v>
          </cell>
          <cell r="L120">
            <v>1460</v>
          </cell>
          <cell r="M120">
            <v>42</v>
          </cell>
          <cell r="N120">
            <v>1358</v>
          </cell>
          <cell r="O120">
            <v>1460</v>
          </cell>
          <cell r="P120">
            <v>0</v>
          </cell>
          <cell r="Q120">
            <v>1610</v>
          </cell>
          <cell r="R120">
            <v>0</v>
          </cell>
          <cell r="S120">
            <v>1560</v>
          </cell>
          <cell r="T120">
            <v>1610</v>
          </cell>
          <cell r="U120">
            <v>1630</v>
          </cell>
        </row>
        <row r="121">
          <cell r="D121">
            <v>23953</v>
          </cell>
          <cell r="E121">
            <v>44415</v>
          </cell>
          <cell r="F121">
            <v>41468</v>
          </cell>
          <cell r="G121">
            <v>13385</v>
          </cell>
          <cell r="H121">
            <v>41324</v>
          </cell>
          <cell r="I121">
            <v>42145</v>
          </cell>
          <cell r="J121">
            <v>25598</v>
          </cell>
          <cell r="K121">
            <v>20039</v>
          </cell>
          <cell r="L121">
            <v>42698</v>
          </cell>
          <cell r="M121">
            <v>16227</v>
          </cell>
          <cell r="N121">
            <v>25724</v>
          </cell>
          <cell r="O121">
            <v>20755</v>
          </cell>
          <cell r="P121">
            <v>53259</v>
          </cell>
          <cell r="Q121">
            <v>14150</v>
          </cell>
          <cell r="R121">
            <v>10714</v>
          </cell>
          <cell r="S121">
            <v>19707</v>
          </cell>
          <cell r="T121">
            <v>17618</v>
          </cell>
          <cell r="U121">
            <v>47009</v>
          </cell>
        </row>
      </sheetData>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row r="6">
          <cell r="L6">
            <v>600</v>
          </cell>
          <cell r="N6">
            <v>16839.127999999997</v>
          </cell>
        </row>
        <row r="23">
          <cell r="D23">
            <v>1270</v>
          </cell>
        </row>
      </sheetData>
      <sheetData sheetId="3" refreshError="1">
        <row r="9">
          <cell r="BO9">
            <v>15378.851200000001</v>
          </cell>
        </row>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5">
          <cell r="AL5">
            <v>526615.29119999998</v>
          </cell>
        </row>
        <row r="6">
          <cell r="O6">
            <v>280</v>
          </cell>
        </row>
      </sheetData>
      <sheetData sheetId="8" refreshError="1"/>
      <sheetData sheetId="9" refreshError="1"/>
      <sheetData sheetId="10" refreshError="1"/>
      <sheetData sheetId="11" refreshError="1">
        <row r="8">
          <cell r="AN8">
            <v>5704.4740000000002</v>
          </cell>
        </row>
        <row r="59">
          <cell r="I59">
            <v>80</v>
          </cell>
        </row>
      </sheetData>
      <sheetData sheetId="12" refreshError="1"/>
      <sheetData sheetId="13" refreshError="1"/>
      <sheetData sheetId="14" refreshError="1"/>
      <sheetData sheetId="15" refreshError="1"/>
      <sheetData sheetId="16" refreshError="1">
        <row r="14">
          <cell r="C14">
            <v>27000</v>
          </cell>
          <cell r="H14">
            <v>485</v>
          </cell>
          <cell r="I14">
            <v>100</v>
          </cell>
        </row>
      </sheetData>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n nghi"/>
      <sheetName val="Sheet2"/>
      <sheetName val="Sheet3"/>
      <sheetName val="Sheet1"/>
    </sheetNames>
    <sheetDataSet>
      <sheetData sheetId="0"/>
      <sheetData sheetId="1"/>
      <sheetData sheetId="2">
        <row r="21">
          <cell r="D21">
            <v>595060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I205"/>
  <sheetViews>
    <sheetView zoomScale="85" zoomScaleNormal="85" workbookViewId="0">
      <pane xSplit="2" ySplit="7" topLeftCell="C8" activePane="bottomRight" state="frozen"/>
      <selection pane="topRight" activeCell="C1" sqref="C1"/>
      <selection pane="bottomLeft" activeCell="A7" sqref="A7"/>
      <selection pane="bottomRight" activeCell="H7" sqref="H7"/>
    </sheetView>
  </sheetViews>
  <sheetFormatPr defaultColWidth="10.28515625" defaultRowHeight="15.75"/>
  <cols>
    <col min="1" max="1" width="17.42578125" style="56" customWidth="1"/>
    <col min="2" max="2" width="58.28515625" style="57" customWidth="1"/>
    <col min="3" max="3" width="21.5703125" style="58" customWidth="1"/>
    <col min="4" max="7" width="21.5703125" style="57" customWidth="1"/>
    <col min="8" max="8" width="13" style="57" customWidth="1"/>
    <col min="9" max="9" width="15.85546875" style="57" customWidth="1"/>
    <col min="10" max="16384" width="10.28515625" style="57"/>
  </cols>
  <sheetData>
    <row r="1" spans="1:9" ht="18.75">
      <c r="A1" s="54"/>
      <c r="B1" s="53"/>
      <c r="C1" s="55"/>
      <c r="D1" s="53"/>
      <c r="E1" s="53"/>
      <c r="F1" s="196" t="s">
        <v>200</v>
      </c>
      <c r="G1" s="197">
        <v>33</v>
      </c>
    </row>
    <row r="2" spans="1:9" ht="24" customHeight="1">
      <c r="A2" s="958" t="s">
        <v>198</v>
      </c>
      <c r="B2" s="958"/>
      <c r="C2" s="958"/>
      <c r="D2" s="958"/>
      <c r="E2" s="958"/>
      <c r="F2" s="958"/>
      <c r="G2" s="958"/>
    </row>
    <row r="3" spans="1:9" s="64" customFormat="1" ht="18" customHeight="1">
      <c r="A3" s="958" t="s">
        <v>351</v>
      </c>
      <c r="B3" s="958"/>
      <c r="C3" s="958"/>
      <c r="D3" s="958"/>
      <c r="E3" s="958"/>
      <c r="F3" s="958"/>
      <c r="G3" s="958"/>
    </row>
    <row r="4" spans="1:9" s="64" customFormat="1" ht="18" customHeight="1">
      <c r="A4" s="52"/>
      <c r="B4" s="52"/>
      <c r="C4" s="52"/>
      <c r="D4" s="52"/>
      <c r="E4" s="52"/>
      <c r="F4" s="959" t="s">
        <v>199</v>
      </c>
      <c r="G4" s="958"/>
    </row>
    <row r="5" spans="1:9" s="64" customFormat="1" ht="54" customHeight="1">
      <c r="A5" s="961" t="s">
        <v>34</v>
      </c>
      <c r="B5" s="961"/>
      <c r="C5" s="281" t="s">
        <v>189</v>
      </c>
      <c r="D5" s="281" t="s">
        <v>191</v>
      </c>
      <c r="E5" s="281" t="s">
        <v>190</v>
      </c>
      <c r="F5" s="281" t="s">
        <v>192</v>
      </c>
      <c r="G5" s="281" t="s">
        <v>193</v>
      </c>
    </row>
    <row r="6" spans="1:9" s="64" customFormat="1" ht="34.5" customHeight="1">
      <c r="A6" s="962">
        <v>1</v>
      </c>
      <c r="B6" s="962"/>
      <c r="C6" s="271">
        <v>2</v>
      </c>
      <c r="D6" s="271">
        <v>3</v>
      </c>
      <c r="E6" s="271" t="s">
        <v>208</v>
      </c>
      <c r="F6" s="271">
        <v>5</v>
      </c>
      <c r="G6" s="271" t="s">
        <v>209</v>
      </c>
    </row>
    <row r="7" spans="1:9" s="64" customFormat="1" ht="34.5" customHeight="1">
      <c r="A7" s="960" t="s">
        <v>205</v>
      </c>
      <c r="B7" s="960"/>
      <c r="C7" s="199"/>
      <c r="D7" s="270"/>
      <c r="E7" s="270"/>
      <c r="F7" s="200">
        <v>8604529.8397832289</v>
      </c>
      <c r="G7" s="200">
        <v>10117459.698943229</v>
      </c>
    </row>
    <row r="8" spans="1:9" s="64" customFormat="1" ht="34.5" customHeight="1">
      <c r="A8" s="198" t="s">
        <v>161</v>
      </c>
      <c r="B8" s="198"/>
      <c r="C8" s="199"/>
      <c r="D8" s="270"/>
      <c r="E8" s="270"/>
      <c r="F8" s="200"/>
      <c r="G8" s="271"/>
      <c r="I8" s="64" t="s">
        <v>210</v>
      </c>
    </row>
    <row r="9" spans="1:9" s="64" customFormat="1" ht="27.6" customHeight="1">
      <c r="A9" s="964" t="s">
        <v>201</v>
      </c>
      <c r="B9" s="960"/>
      <c r="C9" s="199"/>
      <c r="D9" s="270"/>
      <c r="E9" s="270"/>
      <c r="F9" s="200">
        <v>3573000</v>
      </c>
      <c r="G9" s="200">
        <v>3939757.8465529997</v>
      </c>
      <c r="I9" s="333">
        <f>F9+E14+E17+E20+E21+E22+E23+E24+E26+E27</f>
        <v>3939757.8465529992</v>
      </c>
    </row>
    <row r="10" spans="1:9" s="64" customFormat="1" ht="27.6" customHeight="1">
      <c r="A10" s="964" t="s">
        <v>202</v>
      </c>
      <c r="B10" s="964"/>
      <c r="C10" s="199"/>
      <c r="D10" s="270"/>
      <c r="E10" s="270"/>
      <c r="F10" s="200">
        <v>24630</v>
      </c>
      <c r="G10" s="200">
        <v>25743.006637873648</v>
      </c>
    </row>
    <row r="11" spans="1:9" s="64" customFormat="1" ht="27.6" customHeight="1">
      <c r="A11" s="964" t="s">
        <v>203</v>
      </c>
      <c r="B11" s="964"/>
      <c r="C11" s="199"/>
      <c r="D11" s="270"/>
      <c r="E11" s="270"/>
      <c r="F11" s="200">
        <v>5006899.8397832289</v>
      </c>
      <c r="G11" s="200">
        <v>6151958.8457523556</v>
      </c>
    </row>
    <row r="12" spans="1:9" s="64" customFormat="1" ht="37.5" customHeight="1">
      <c r="A12" s="960" t="s">
        <v>204</v>
      </c>
      <c r="B12" s="960"/>
      <c r="C12" s="200">
        <v>439263.31510000001</v>
      </c>
      <c r="D12" s="272">
        <v>1951852.17426</v>
      </c>
      <c r="E12" s="200">
        <v>1512929.85916</v>
      </c>
      <c r="F12" s="199"/>
      <c r="G12" s="199"/>
    </row>
    <row r="13" spans="1:9" s="64" customFormat="1" ht="18" customHeight="1">
      <c r="A13" s="960" t="s">
        <v>186</v>
      </c>
      <c r="B13" s="960"/>
      <c r="C13" s="201"/>
      <c r="D13" s="272">
        <v>289101</v>
      </c>
      <c r="E13" s="201">
        <v>289101</v>
      </c>
      <c r="F13" s="202"/>
      <c r="G13" s="202"/>
      <c r="I13" s="64">
        <v>277868</v>
      </c>
    </row>
    <row r="14" spans="1:9" s="64" customFormat="1" ht="18" customHeight="1">
      <c r="A14" s="198" t="s">
        <v>161</v>
      </c>
      <c r="B14" s="195" t="s">
        <v>206</v>
      </c>
      <c r="C14" s="201"/>
      <c r="D14" s="272">
        <v>144900.08302503347</v>
      </c>
      <c r="E14" s="201">
        <v>144900.08302503347</v>
      </c>
      <c r="F14" s="202"/>
      <c r="G14" s="202"/>
      <c r="I14" s="64">
        <v>139270</v>
      </c>
    </row>
    <row r="15" spans="1:9" s="64" customFormat="1" ht="18" customHeight="1">
      <c r="A15" s="198"/>
      <c r="B15" s="195" t="s">
        <v>207</v>
      </c>
      <c r="C15" s="201"/>
      <c r="D15" s="272">
        <v>932.22140008925101</v>
      </c>
      <c r="E15" s="201">
        <v>932.22140008925101</v>
      </c>
      <c r="F15" s="202"/>
      <c r="G15" s="202"/>
      <c r="I15" s="64">
        <v>896</v>
      </c>
    </row>
    <row r="16" spans="1:9" s="64" customFormat="1" ht="18" customHeight="1">
      <c r="A16" s="960" t="s">
        <v>187</v>
      </c>
      <c r="B16" s="960"/>
      <c r="C16" s="201"/>
      <c r="D16" s="272">
        <v>57060</v>
      </c>
      <c r="E16" s="201">
        <v>57060</v>
      </c>
      <c r="F16" s="202"/>
      <c r="G16" s="202"/>
      <c r="I16" s="64">
        <v>62809</v>
      </c>
    </row>
    <row r="17" spans="1:9" s="64" customFormat="1" ht="18" customHeight="1">
      <c r="A17" s="198" t="s">
        <v>161</v>
      </c>
      <c r="B17" s="195" t="s">
        <v>206</v>
      </c>
      <c r="C17" s="201"/>
      <c r="D17" s="272">
        <v>28478.671527965736</v>
      </c>
      <c r="E17" s="201">
        <v>28478.671527965736</v>
      </c>
      <c r="F17" s="202"/>
      <c r="G17" s="202"/>
      <c r="I17" s="64">
        <v>31348</v>
      </c>
    </row>
    <row r="18" spans="1:9" s="64" customFormat="1" ht="18" customHeight="1">
      <c r="A18" s="198"/>
      <c r="B18" s="195" t="s">
        <v>207</v>
      </c>
      <c r="C18" s="201"/>
      <c r="D18" s="272">
        <v>180.78523778439396</v>
      </c>
      <c r="E18" s="201">
        <v>180.78523778439396</v>
      </c>
      <c r="F18" s="202"/>
      <c r="G18" s="202"/>
      <c r="I18" s="64">
        <v>199</v>
      </c>
    </row>
    <row r="19" spans="1:9" ht="19.5" customHeight="1">
      <c r="A19" s="960" t="s">
        <v>188</v>
      </c>
      <c r="B19" s="960"/>
      <c r="C19" s="201">
        <v>439263.31510000001</v>
      </c>
      <c r="D19" s="272">
        <v>1605691.17426</v>
      </c>
      <c r="E19" s="201">
        <v>1166768.85916</v>
      </c>
      <c r="F19" s="202"/>
      <c r="G19" s="202"/>
      <c r="I19" s="57">
        <f>543318-25346</f>
        <v>517972</v>
      </c>
    </row>
    <row r="20" spans="1:9" s="59" customFormat="1" ht="28.9" customHeight="1">
      <c r="A20" s="963" t="s">
        <v>300</v>
      </c>
      <c r="B20" s="963"/>
      <c r="C20" s="200">
        <v>28207.200000000001</v>
      </c>
      <c r="D20" s="272">
        <v>51865.440000000002</v>
      </c>
      <c r="E20" s="268">
        <v>23658.240000000002</v>
      </c>
      <c r="F20" s="269"/>
      <c r="G20" s="269"/>
    </row>
    <row r="21" spans="1:9" s="59" customFormat="1" ht="28.9" customHeight="1">
      <c r="A21" s="963" t="s">
        <v>299</v>
      </c>
      <c r="B21" s="963"/>
      <c r="C21" s="200">
        <v>8479.68</v>
      </c>
      <c r="D21" s="272">
        <v>59369</v>
      </c>
      <c r="E21" s="268">
        <v>50889.32</v>
      </c>
      <c r="F21" s="269"/>
      <c r="G21" s="269"/>
    </row>
    <row r="22" spans="1:9" s="59" customFormat="1" ht="28.9" customHeight="1">
      <c r="A22" s="963" t="s">
        <v>301</v>
      </c>
      <c r="B22" s="963"/>
      <c r="C22" s="200"/>
      <c r="D22" s="272">
        <v>34188</v>
      </c>
      <c r="E22" s="268">
        <v>34188</v>
      </c>
      <c r="F22" s="269"/>
      <c r="G22" s="269"/>
      <c r="I22" s="59" t="s">
        <v>210</v>
      </c>
    </row>
    <row r="23" spans="1:9" s="59" customFormat="1" ht="44.45" customHeight="1">
      <c r="A23" s="963" t="s">
        <v>302</v>
      </c>
      <c r="B23" s="963"/>
      <c r="C23" s="200">
        <v>16416.130499999999</v>
      </c>
      <c r="D23" s="272">
        <v>55014.130499999999</v>
      </c>
      <c r="E23" s="268">
        <v>38598</v>
      </c>
      <c r="F23" s="269"/>
      <c r="G23" s="269"/>
    </row>
    <row r="24" spans="1:9" s="59" customFormat="1" ht="28.9" customHeight="1">
      <c r="A24" s="963" t="s">
        <v>303</v>
      </c>
      <c r="B24" s="963"/>
      <c r="C24" s="200"/>
      <c r="D24" s="272">
        <v>30696.84</v>
      </c>
      <c r="E24" s="268">
        <v>30696.84</v>
      </c>
      <c r="F24" s="269"/>
      <c r="G24" s="269"/>
    </row>
    <row r="25" spans="1:9" s="63" customFormat="1" ht="28.9" customHeight="1">
      <c r="A25" s="963" t="s">
        <v>304</v>
      </c>
      <c r="B25" s="963"/>
      <c r="C25" s="203"/>
      <c r="D25" s="272">
        <v>0</v>
      </c>
      <c r="E25" s="268">
        <v>0</v>
      </c>
      <c r="F25" s="204"/>
      <c r="G25" s="204"/>
    </row>
    <row r="26" spans="1:9" s="51" customFormat="1" ht="28.9" customHeight="1">
      <c r="A26" s="963" t="s">
        <v>305</v>
      </c>
      <c r="B26" s="963"/>
      <c r="C26" s="272"/>
      <c r="D26" s="272">
        <v>9867.3919999999998</v>
      </c>
      <c r="E26" s="268">
        <v>9867.3919999999998</v>
      </c>
      <c r="F26" s="269"/>
      <c r="G26" s="269"/>
    </row>
    <row r="27" spans="1:9" s="52" customFormat="1" ht="28.9" customHeight="1">
      <c r="A27" s="967" t="s">
        <v>306</v>
      </c>
      <c r="B27" s="967"/>
      <c r="C27" s="201"/>
      <c r="D27" s="272">
        <v>5481.3</v>
      </c>
      <c r="E27" s="268">
        <v>5481.3</v>
      </c>
      <c r="F27" s="205"/>
      <c r="G27" s="205"/>
    </row>
    <row r="28" spans="1:9" s="53" customFormat="1" ht="28.9" customHeight="1">
      <c r="A28" s="967" t="s">
        <v>307</v>
      </c>
      <c r="B28" s="967"/>
      <c r="C28" s="200">
        <v>56313.440999999999</v>
      </c>
      <c r="D28" s="272">
        <v>110014.9182</v>
      </c>
      <c r="E28" s="268">
        <v>53701.477200000001</v>
      </c>
      <c r="F28" s="205"/>
      <c r="G28" s="205"/>
    </row>
    <row r="29" spans="1:9" s="53" customFormat="1" ht="28.9" customHeight="1">
      <c r="A29" s="967" t="s">
        <v>308</v>
      </c>
      <c r="B29" s="967"/>
      <c r="C29" s="201"/>
      <c r="D29" s="272">
        <v>31370.648759999996</v>
      </c>
      <c r="E29" s="268">
        <v>31370.648759999996</v>
      </c>
      <c r="F29" s="205"/>
      <c r="G29" s="205"/>
    </row>
    <row r="30" spans="1:9" s="53" customFormat="1" ht="28.9" customHeight="1">
      <c r="A30" s="967" t="s">
        <v>309</v>
      </c>
      <c r="B30" s="967"/>
      <c r="C30" s="201"/>
      <c r="D30" s="272">
        <v>0</v>
      </c>
      <c r="E30" s="268">
        <v>0</v>
      </c>
      <c r="F30" s="205"/>
      <c r="G30" s="205"/>
    </row>
    <row r="31" spans="1:9" s="53" customFormat="1" ht="28.9" customHeight="1">
      <c r="A31" s="963" t="s">
        <v>310</v>
      </c>
      <c r="B31" s="963"/>
      <c r="C31" s="201"/>
      <c r="D31" s="272">
        <v>40585.287599999996</v>
      </c>
      <c r="E31" s="268">
        <v>40585.287599999996</v>
      </c>
      <c r="F31" s="205"/>
      <c r="G31" s="205"/>
    </row>
    <row r="32" spans="1:9" s="53" customFormat="1" ht="28.9" customHeight="1">
      <c r="A32" s="963" t="s">
        <v>311</v>
      </c>
      <c r="B32" s="963"/>
      <c r="C32" s="201"/>
      <c r="D32" s="272">
        <v>3.9203999999999999</v>
      </c>
      <c r="E32" s="268">
        <v>3.9203999999999999</v>
      </c>
      <c r="F32" s="205"/>
      <c r="G32" s="205"/>
    </row>
    <row r="33" spans="1:7" s="63" customFormat="1" ht="41.45" customHeight="1">
      <c r="A33" s="963" t="s">
        <v>312</v>
      </c>
      <c r="B33" s="963"/>
      <c r="C33" s="200">
        <v>110674.8036</v>
      </c>
      <c r="D33" s="203">
        <v>212258.29679999998</v>
      </c>
      <c r="E33" s="268">
        <v>101583.49319999998</v>
      </c>
      <c r="F33" s="204"/>
      <c r="G33" s="204"/>
    </row>
    <row r="34" spans="1:7" s="63" customFormat="1" ht="57.75" customHeight="1">
      <c r="A34" s="965" t="s">
        <v>324</v>
      </c>
      <c r="B34" s="966"/>
      <c r="C34" s="200"/>
      <c r="D34" s="203"/>
      <c r="E34" s="268">
        <v>341</v>
      </c>
      <c r="F34" s="204"/>
      <c r="G34" s="204"/>
    </row>
    <row r="35" spans="1:7" s="51" customFormat="1" ht="28.9" customHeight="1">
      <c r="A35" s="963" t="s">
        <v>325</v>
      </c>
      <c r="B35" s="963"/>
      <c r="C35" s="272"/>
      <c r="D35" s="272">
        <v>17810</v>
      </c>
      <c r="E35" s="268">
        <v>17810</v>
      </c>
      <c r="F35" s="269"/>
      <c r="G35" s="269"/>
    </row>
    <row r="36" spans="1:7" s="51" customFormat="1" ht="40.9" customHeight="1">
      <c r="A36" s="963" t="s">
        <v>326</v>
      </c>
      <c r="B36" s="963"/>
      <c r="C36" s="272"/>
      <c r="D36" s="272">
        <v>14820</v>
      </c>
      <c r="E36" s="268">
        <v>14820</v>
      </c>
      <c r="F36" s="269"/>
      <c r="G36" s="269"/>
    </row>
    <row r="37" spans="1:7" s="51" customFormat="1" ht="39.6" customHeight="1">
      <c r="A37" s="963" t="s">
        <v>327</v>
      </c>
      <c r="B37" s="963"/>
      <c r="C37" s="272"/>
      <c r="D37" s="272">
        <v>4300</v>
      </c>
      <c r="E37" s="268">
        <v>4300</v>
      </c>
      <c r="F37" s="269"/>
      <c r="G37" s="269"/>
    </row>
    <row r="38" spans="1:7" s="51" customFormat="1" ht="40.15" customHeight="1">
      <c r="A38" s="963" t="s">
        <v>328</v>
      </c>
      <c r="B38" s="963"/>
      <c r="C38" s="200">
        <v>141873</v>
      </c>
      <c r="D38" s="272">
        <v>430988</v>
      </c>
      <c r="E38" s="268">
        <v>289115</v>
      </c>
      <c r="F38" s="269"/>
      <c r="G38" s="269"/>
    </row>
    <row r="39" spans="1:7" s="280" customFormat="1" ht="28.9" customHeight="1">
      <c r="A39" s="968" t="s">
        <v>296</v>
      </c>
      <c r="B39" s="968"/>
      <c r="C39" s="277">
        <v>20071</v>
      </c>
      <c r="D39" s="294"/>
      <c r="E39" s="278"/>
      <c r="F39" s="279"/>
      <c r="G39" s="279"/>
    </row>
    <row r="40" spans="1:7" s="51" customFormat="1" ht="28.9" customHeight="1">
      <c r="A40" s="963" t="s">
        <v>329</v>
      </c>
      <c r="B40" s="963"/>
      <c r="C40" s="200">
        <v>14299.06</v>
      </c>
      <c r="D40" s="272">
        <v>17887</v>
      </c>
      <c r="E40" s="268">
        <v>3587.9400000000005</v>
      </c>
      <c r="F40" s="269"/>
      <c r="G40" s="269"/>
    </row>
    <row r="41" spans="1:7" s="51" customFormat="1" ht="28.9" customHeight="1">
      <c r="A41" s="963" t="s">
        <v>330</v>
      </c>
      <c r="B41" s="963"/>
      <c r="C41" s="273"/>
      <c r="D41" s="272">
        <v>9760</v>
      </c>
      <c r="E41" s="268">
        <v>9760</v>
      </c>
      <c r="F41" s="269"/>
      <c r="G41" s="269"/>
    </row>
    <row r="42" spans="1:7" s="51" customFormat="1" ht="40.9" customHeight="1">
      <c r="A42" s="963" t="s">
        <v>331</v>
      </c>
      <c r="B42" s="963"/>
      <c r="C42" s="273"/>
      <c r="D42" s="272">
        <v>18500</v>
      </c>
      <c r="E42" s="268">
        <v>18500</v>
      </c>
      <c r="F42" s="269"/>
      <c r="G42" s="269"/>
    </row>
    <row r="43" spans="1:7" s="51" customFormat="1" ht="28.9" customHeight="1">
      <c r="A43" s="963" t="s">
        <v>332</v>
      </c>
      <c r="B43" s="963"/>
      <c r="C43" s="200"/>
      <c r="D43" s="272">
        <v>53260.5</v>
      </c>
      <c r="E43" s="268">
        <v>53260.5</v>
      </c>
      <c r="F43" s="269"/>
      <c r="G43" s="269"/>
    </row>
    <row r="44" spans="1:7" s="51" customFormat="1" ht="28.9" customHeight="1">
      <c r="A44" s="963" t="s">
        <v>333</v>
      </c>
      <c r="B44" s="963"/>
      <c r="C44" s="273"/>
      <c r="D44" s="272">
        <v>4200</v>
      </c>
      <c r="E44" s="268">
        <v>4200</v>
      </c>
      <c r="F44" s="269"/>
      <c r="G44" s="269"/>
    </row>
    <row r="45" spans="1:7" s="51" customFormat="1" ht="28.9" customHeight="1">
      <c r="A45" s="963" t="s">
        <v>334</v>
      </c>
      <c r="B45" s="963"/>
      <c r="C45" s="200">
        <v>63000</v>
      </c>
      <c r="D45" s="272">
        <v>87641</v>
      </c>
      <c r="E45" s="268">
        <v>24641</v>
      </c>
      <c r="F45" s="269"/>
      <c r="G45" s="269"/>
    </row>
    <row r="46" spans="1:7" s="51" customFormat="1" ht="40.15" customHeight="1">
      <c r="A46" s="963" t="s">
        <v>335</v>
      </c>
      <c r="B46" s="963"/>
      <c r="C46" s="273"/>
      <c r="D46" s="272">
        <v>0</v>
      </c>
      <c r="E46" s="268">
        <v>0</v>
      </c>
      <c r="F46" s="269"/>
      <c r="G46" s="269"/>
    </row>
    <row r="47" spans="1:7" s="51" customFormat="1" ht="40.15" customHeight="1">
      <c r="A47" s="965" t="s">
        <v>336</v>
      </c>
      <c r="B47" s="966"/>
      <c r="C47" s="326"/>
      <c r="D47" s="327">
        <v>13849.5</v>
      </c>
      <c r="E47" s="328">
        <v>13849.5</v>
      </c>
      <c r="F47" s="329"/>
      <c r="G47" s="329"/>
    </row>
    <row r="48" spans="1:7" s="51" customFormat="1" ht="39.75" customHeight="1">
      <c r="A48" s="969" t="s">
        <v>350</v>
      </c>
      <c r="B48" s="969"/>
      <c r="C48" s="274"/>
      <c r="D48" s="295">
        <v>291960</v>
      </c>
      <c r="E48" s="275">
        <v>291960</v>
      </c>
      <c r="F48" s="276"/>
      <c r="G48" s="276"/>
    </row>
    <row r="49" spans="1:3" s="51" customFormat="1" ht="24" customHeight="1">
      <c r="C49" s="55"/>
    </row>
    <row r="50" spans="1:3" s="51" customFormat="1" ht="24" customHeight="1">
      <c r="C50" s="55"/>
    </row>
    <row r="51" spans="1:3" s="51" customFormat="1" ht="24" customHeight="1">
      <c r="C51" s="55"/>
    </row>
    <row r="52" spans="1:3" s="51" customFormat="1" ht="24" customHeight="1">
      <c r="C52" s="55"/>
    </row>
    <row r="53" spans="1:3" s="51" customFormat="1" ht="24" customHeight="1">
      <c r="C53" s="55"/>
    </row>
    <row r="54" spans="1:3" s="51" customFormat="1" ht="24" customHeight="1">
      <c r="C54" s="55"/>
    </row>
    <row r="55" spans="1:3" s="51" customFormat="1" ht="24" customHeight="1">
      <c r="C55" s="55"/>
    </row>
    <row r="56" spans="1:3" s="51" customFormat="1" ht="24" customHeight="1">
      <c r="C56" s="55"/>
    </row>
    <row r="57" spans="1:3" s="51" customFormat="1" ht="24" customHeight="1">
      <c r="C57" s="55"/>
    </row>
    <row r="58" spans="1:3" s="51" customFormat="1" ht="24" customHeight="1">
      <c r="C58" s="55"/>
    </row>
    <row r="59" spans="1:3" s="51" customFormat="1" ht="24" customHeight="1">
      <c r="C59" s="55"/>
    </row>
    <row r="60" spans="1:3" s="51" customFormat="1" ht="24" customHeight="1">
      <c r="C60" s="55"/>
    </row>
    <row r="61" spans="1:3" s="51" customFormat="1" ht="24" customHeight="1">
      <c r="C61" s="55"/>
    </row>
    <row r="62" spans="1:3" s="51" customFormat="1" ht="24" customHeight="1">
      <c r="C62" s="55"/>
    </row>
    <row r="63" spans="1:3" s="51" customFormat="1" ht="24" customHeight="1">
      <c r="C63" s="55"/>
    </row>
    <row r="64" spans="1:3" s="52" customFormat="1" ht="24" customHeight="1">
      <c r="A64" s="60"/>
      <c r="C64" s="61"/>
    </row>
    <row r="65" spans="1:3" s="53" customFormat="1" ht="24" customHeight="1">
      <c r="A65" s="54"/>
      <c r="C65" s="55"/>
    </row>
    <row r="66" spans="1:3" s="53" customFormat="1" ht="24" customHeight="1">
      <c r="A66" s="54"/>
      <c r="C66" s="55"/>
    </row>
    <row r="67" spans="1:3" s="53" customFormat="1" ht="24" customHeight="1">
      <c r="A67" s="54"/>
      <c r="C67" s="55"/>
    </row>
    <row r="68" spans="1:3" s="53" customFormat="1" ht="24" customHeight="1">
      <c r="A68" s="54"/>
      <c r="C68" s="55"/>
    </row>
    <row r="69" spans="1:3" s="53" customFormat="1" ht="24" customHeight="1">
      <c r="A69" s="54"/>
      <c r="C69" s="55"/>
    </row>
    <row r="70" spans="1:3" s="53" customFormat="1" ht="24" customHeight="1">
      <c r="A70" s="54"/>
      <c r="C70" s="55"/>
    </row>
    <row r="71" spans="1:3" s="53" customFormat="1" ht="24" customHeight="1">
      <c r="A71" s="54"/>
      <c r="C71" s="55"/>
    </row>
    <row r="72" spans="1:3" s="53" customFormat="1" ht="39" customHeight="1">
      <c r="A72" s="54"/>
      <c r="C72" s="55"/>
    </row>
    <row r="73" spans="1:3" s="53" customFormat="1" ht="24" customHeight="1">
      <c r="A73" s="54"/>
      <c r="C73" s="55"/>
    </row>
    <row r="74" spans="1:3" s="53" customFormat="1" ht="24" customHeight="1">
      <c r="A74" s="54"/>
      <c r="C74" s="55"/>
    </row>
    <row r="75" spans="1:3" s="53" customFormat="1" ht="24" customHeight="1">
      <c r="A75" s="54"/>
      <c r="C75" s="55"/>
    </row>
    <row r="76" spans="1:3" s="53" customFormat="1" ht="24" customHeight="1">
      <c r="A76" s="54"/>
      <c r="C76" s="55"/>
    </row>
    <row r="77" spans="1:3" s="53" customFormat="1" ht="24" customHeight="1">
      <c r="A77" s="54"/>
      <c r="C77" s="55"/>
    </row>
    <row r="78" spans="1:3" s="53" customFormat="1" ht="33.75" customHeight="1">
      <c r="A78" s="54"/>
      <c r="C78" s="55"/>
    </row>
    <row r="79" spans="1:3" s="53" customFormat="1" ht="24" customHeight="1">
      <c r="A79" s="54"/>
      <c r="C79" s="55"/>
    </row>
    <row r="80" spans="1:3" s="53" customFormat="1" ht="35.25" customHeight="1">
      <c r="A80" s="54"/>
      <c r="C80" s="55"/>
    </row>
    <row r="81" spans="1:3" s="53" customFormat="1" ht="24" customHeight="1">
      <c r="A81" s="54"/>
      <c r="C81" s="55"/>
    </row>
    <row r="82" spans="1:3" s="53" customFormat="1" ht="24" customHeight="1">
      <c r="A82" s="54"/>
      <c r="C82" s="55"/>
    </row>
    <row r="83" spans="1:3" s="53" customFormat="1" ht="24" customHeight="1">
      <c r="A83" s="54"/>
      <c r="C83" s="55"/>
    </row>
    <row r="84" spans="1:3" s="53" customFormat="1" ht="24" customHeight="1">
      <c r="A84" s="54"/>
      <c r="C84" s="55"/>
    </row>
    <row r="85" spans="1:3" s="53" customFormat="1" ht="24" customHeight="1">
      <c r="A85" s="54"/>
      <c r="C85" s="55"/>
    </row>
    <row r="86" spans="1:3" s="53" customFormat="1" ht="24" customHeight="1">
      <c r="A86" s="54"/>
      <c r="C86" s="55"/>
    </row>
    <row r="87" spans="1:3" s="53" customFormat="1" ht="24" customHeight="1">
      <c r="A87" s="54"/>
      <c r="C87" s="55"/>
    </row>
    <row r="88" spans="1:3" s="53" customFormat="1" ht="24" customHeight="1">
      <c r="A88" s="54"/>
      <c r="C88" s="55"/>
    </row>
    <row r="89" spans="1:3" s="53" customFormat="1" ht="24" customHeight="1">
      <c r="A89" s="54"/>
      <c r="C89" s="55"/>
    </row>
    <row r="90" spans="1:3" s="53" customFormat="1" ht="24" customHeight="1">
      <c r="A90" s="54"/>
      <c r="C90" s="55"/>
    </row>
    <row r="91" spans="1:3" s="53" customFormat="1" ht="24" customHeight="1">
      <c r="A91" s="54"/>
      <c r="C91" s="55"/>
    </row>
    <row r="92" spans="1:3" s="53" customFormat="1" ht="24" customHeight="1">
      <c r="A92" s="54"/>
      <c r="C92" s="55"/>
    </row>
    <row r="93" spans="1:3" s="53" customFormat="1" ht="24" customHeight="1">
      <c r="A93" s="54"/>
      <c r="C93" s="55"/>
    </row>
    <row r="94" spans="1:3" s="53" customFormat="1" ht="24" customHeight="1">
      <c r="A94" s="54"/>
      <c r="C94" s="55"/>
    </row>
    <row r="95" spans="1:3" s="53" customFormat="1" ht="24" customHeight="1">
      <c r="A95" s="54"/>
      <c r="C95" s="55"/>
    </row>
    <row r="96" spans="1:3" s="53" customFormat="1" ht="24" customHeight="1">
      <c r="A96" s="54"/>
      <c r="C96" s="55"/>
    </row>
    <row r="97" spans="1:3" s="53" customFormat="1" ht="24" customHeight="1">
      <c r="A97" s="54"/>
      <c r="C97" s="55"/>
    </row>
    <row r="98" spans="1:3" s="53" customFormat="1" ht="24" customHeight="1">
      <c r="A98" s="54"/>
      <c r="C98" s="55"/>
    </row>
    <row r="99" spans="1:3" s="53" customFormat="1" ht="24" customHeight="1">
      <c r="A99" s="54"/>
      <c r="C99" s="55"/>
    </row>
    <row r="100" spans="1:3" s="53" customFormat="1" ht="24" customHeight="1">
      <c r="A100" s="54"/>
      <c r="C100" s="55"/>
    </row>
    <row r="101" spans="1:3" s="53" customFormat="1" ht="24" customHeight="1">
      <c r="A101" s="54"/>
      <c r="C101" s="55"/>
    </row>
    <row r="102" spans="1:3" s="53" customFormat="1" ht="24" customHeight="1">
      <c r="A102" s="54"/>
      <c r="C102" s="55"/>
    </row>
    <row r="103" spans="1:3" s="53" customFormat="1" ht="24" customHeight="1">
      <c r="A103" s="54"/>
      <c r="C103" s="55"/>
    </row>
    <row r="104" spans="1:3" s="53" customFormat="1" ht="24" customHeight="1">
      <c r="A104" s="54"/>
      <c r="C104" s="55"/>
    </row>
    <row r="105" spans="1:3" s="53" customFormat="1" ht="24" customHeight="1">
      <c r="A105" s="54"/>
      <c r="C105" s="55"/>
    </row>
    <row r="106" spans="1:3" s="53" customFormat="1" ht="24" customHeight="1">
      <c r="A106" s="54"/>
      <c r="C106" s="55"/>
    </row>
    <row r="107" spans="1:3" s="53" customFormat="1" ht="24" customHeight="1">
      <c r="A107" s="54"/>
      <c r="C107" s="55"/>
    </row>
    <row r="108" spans="1:3" s="53" customFormat="1" ht="24" customHeight="1">
      <c r="A108" s="54"/>
      <c r="C108" s="55"/>
    </row>
    <row r="109" spans="1:3" s="53" customFormat="1" ht="24" customHeight="1">
      <c r="A109" s="54"/>
      <c r="C109" s="55"/>
    </row>
    <row r="110" spans="1:3" s="53" customFormat="1" ht="24" customHeight="1">
      <c r="A110" s="54"/>
      <c r="C110" s="55"/>
    </row>
    <row r="111" spans="1:3" s="53" customFormat="1" ht="24" customHeight="1">
      <c r="A111" s="54"/>
      <c r="C111" s="55"/>
    </row>
    <row r="112" spans="1:3" s="53" customFormat="1" ht="24" customHeight="1">
      <c r="A112" s="54"/>
      <c r="C112" s="55"/>
    </row>
    <row r="113" spans="1:3" s="53" customFormat="1" ht="24" customHeight="1">
      <c r="A113" s="54"/>
      <c r="C113" s="55"/>
    </row>
    <row r="114" spans="1:3" s="53" customFormat="1" ht="24" customHeight="1">
      <c r="A114" s="54"/>
      <c r="C114" s="55"/>
    </row>
    <row r="115" spans="1:3" s="53" customFormat="1" ht="24" customHeight="1">
      <c r="A115" s="54"/>
      <c r="C115" s="55"/>
    </row>
    <row r="116" spans="1:3" s="53" customFormat="1" ht="24" customHeight="1">
      <c r="A116" s="54"/>
      <c r="C116" s="55"/>
    </row>
    <row r="117" spans="1:3" s="53" customFormat="1" ht="24" customHeight="1">
      <c r="A117" s="54"/>
      <c r="C117" s="55"/>
    </row>
    <row r="118" spans="1:3" s="53" customFormat="1" ht="24" customHeight="1">
      <c r="A118" s="54"/>
      <c r="C118" s="55"/>
    </row>
    <row r="119" spans="1:3" ht="24" customHeight="1"/>
    <row r="120" spans="1:3" ht="24" customHeight="1"/>
    <row r="121" spans="1:3" ht="24" customHeight="1"/>
    <row r="122" spans="1:3" ht="24" customHeight="1"/>
    <row r="123" spans="1:3" ht="24" customHeight="1"/>
    <row r="124" spans="1:3" ht="24" customHeight="1"/>
    <row r="125" spans="1:3" ht="24" customHeight="1"/>
    <row r="126" spans="1:3" ht="24" customHeight="1"/>
    <row r="127" spans="1:3" ht="24" customHeight="1"/>
    <row r="128" spans="1:3"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row r="199" ht="24" customHeight="1"/>
    <row r="200" ht="24" customHeight="1"/>
    <row r="201" ht="24" customHeight="1"/>
    <row r="202" ht="24" customHeight="1"/>
    <row r="203" ht="24" customHeight="1"/>
    <row r="204" ht="24" customHeight="1"/>
    <row r="205" ht="24" customHeight="1"/>
  </sheetData>
  <mergeCells count="42">
    <mergeCell ref="A39:B39"/>
    <mergeCell ref="A48:B48"/>
    <mergeCell ref="A41:B41"/>
    <mergeCell ref="A42:B42"/>
    <mergeCell ref="A43:B43"/>
    <mergeCell ref="A44:B44"/>
    <mergeCell ref="A45:B45"/>
    <mergeCell ref="A46:B46"/>
    <mergeCell ref="A47:B47"/>
    <mergeCell ref="A40:B40"/>
    <mergeCell ref="A38:B38"/>
    <mergeCell ref="A34:B34"/>
    <mergeCell ref="A23:B23"/>
    <mergeCell ref="A24:B24"/>
    <mergeCell ref="A25:B25"/>
    <mergeCell ref="A26:B26"/>
    <mergeCell ref="A27:B27"/>
    <mergeCell ref="A28:B28"/>
    <mergeCell ref="A29:B29"/>
    <mergeCell ref="A30:B30"/>
    <mergeCell ref="A31:B31"/>
    <mergeCell ref="A32:B32"/>
    <mergeCell ref="A33:B33"/>
    <mergeCell ref="A35:B35"/>
    <mergeCell ref="A36:B36"/>
    <mergeCell ref="A37:B37"/>
    <mergeCell ref="A22:B22"/>
    <mergeCell ref="A19:B19"/>
    <mergeCell ref="A20:B20"/>
    <mergeCell ref="A21:B21"/>
    <mergeCell ref="A9:B9"/>
    <mergeCell ref="A10:B10"/>
    <mergeCell ref="A11:B11"/>
    <mergeCell ref="A12:B12"/>
    <mergeCell ref="A13:B13"/>
    <mergeCell ref="A16:B16"/>
    <mergeCell ref="A2:G2"/>
    <mergeCell ref="F4:G4"/>
    <mergeCell ref="A3:G3"/>
    <mergeCell ref="A7:B7"/>
    <mergeCell ref="A5:B5"/>
    <mergeCell ref="A6:B6"/>
  </mergeCells>
  <phoneticPr fontId="43" type="noConversion"/>
  <printOptions horizontalCentered="1"/>
  <pageMargins left="0.23" right="0" top="0.35" bottom="0.39370078740157499" header="0" footer="0"/>
  <pageSetup paperSize="9" scale="55" orientation="portrait" r:id="rId1"/>
  <headerFooter alignWithMargins="0">
    <oddFooter>&amp;L&amp;".VnArial Narrow,Regular"&amp;8&amp;T - &amp;D - &amp;F - &amp;A</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71"/>
  <sheetViews>
    <sheetView workbookViewId="0">
      <selection activeCell="F19" sqref="F19:J49"/>
    </sheetView>
  </sheetViews>
  <sheetFormatPr defaultColWidth="9.140625" defaultRowHeight="16.5"/>
  <cols>
    <col min="1" max="1" width="5.85546875" style="580" customWidth="1"/>
    <col min="2" max="2" width="53.7109375" style="580" customWidth="1"/>
    <col min="3" max="5" width="13.28515625" style="580" customWidth="1"/>
    <col min="6" max="6" width="11.28515625" style="580" bestFit="1" customWidth="1"/>
    <col min="7" max="7" width="14.5703125" style="580" customWidth="1"/>
    <col min="8" max="8" width="9.140625" style="580"/>
    <col min="9" max="9" width="9.5703125" style="580" bestFit="1" customWidth="1"/>
    <col min="10" max="16384" width="9.140625" style="580"/>
  </cols>
  <sheetData>
    <row r="1" spans="1:7" ht="18.75">
      <c r="A1" s="1027" t="s">
        <v>901</v>
      </c>
      <c r="B1" s="1027"/>
      <c r="C1" s="896"/>
      <c r="D1" s="1026" t="s">
        <v>966</v>
      </c>
      <c r="E1" s="1026"/>
    </row>
    <row r="2" spans="1:7" ht="18.75">
      <c r="A2" s="897"/>
      <c r="B2" s="897"/>
      <c r="C2" s="896"/>
      <c r="D2" s="860"/>
      <c r="E2" s="860"/>
    </row>
    <row r="3" spans="1:7" ht="43.5" customHeight="1">
      <c r="A3" s="1016" t="s">
        <v>658</v>
      </c>
      <c r="B3" s="1016"/>
      <c r="C3" s="1016"/>
      <c r="D3" s="1016"/>
      <c r="E3" s="1016"/>
    </row>
    <row r="4" spans="1:7">
      <c r="A4" s="1006" t="s">
        <v>1001</v>
      </c>
      <c r="B4" s="1006"/>
      <c r="C4" s="1006"/>
      <c r="D4" s="1006"/>
      <c r="E4" s="1006"/>
      <c r="F4" s="748"/>
    </row>
    <row r="5" spans="1:7">
      <c r="A5" s="1012" t="s">
        <v>199</v>
      </c>
      <c r="B5" s="1012"/>
      <c r="C5" s="1012"/>
      <c r="D5" s="1012"/>
      <c r="E5" s="1012"/>
    </row>
    <row r="6" spans="1:7" ht="18" customHeight="1">
      <c r="A6" s="1008" t="s">
        <v>11</v>
      </c>
      <c r="B6" s="1008" t="s">
        <v>289</v>
      </c>
      <c r="C6" s="1008" t="s">
        <v>593</v>
      </c>
      <c r="D6" s="1008" t="s">
        <v>380</v>
      </c>
      <c r="E6" s="1008"/>
    </row>
    <row r="7" spans="1:7" ht="36.75" customHeight="1">
      <c r="A7" s="1008"/>
      <c r="B7" s="1008"/>
      <c r="C7" s="1008"/>
      <c r="D7" s="751" t="s">
        <v>646</v>
      </c>
      <c r="E7" s="751" t="s">
        <v>647</v>
      </c>
    </row>
    <row r="8" spans="1:7">
      <c r="A8" s="751" t="s">
        <v>12</v>
      </c>
      <c r="B8" s="751" t="s">
        <v>13</v>
      </c>
      <c r="C8" s="751" t="s">
        <v>594</v>
      </c>
      <c r="D8" s="751">
        <v>2</v>
      </c>
      <c r="E8" s="751">
        <v>3</v>
      </c>
    </row>
    <row r="9" spans="1:7">
      <c r="A9" s="766"/>
      <c r="B9" s="767" t="s">
        <v>383</v>
      </c>
      <c r="C9" s="770">
        <f>C10+C47+C77</f>
        <v>20067870</v>
      </c>
      <c r="D9" s="770">
        <f>D10+D47+D77</f>
        <v>11496917</v>
      </c>
      <c r="E9" s="770">
        <f>E10+E47+E77</f>
        <v>8570953</v>
      </c>
      <c r="G9" s="621">
        <f>D9-'ngay 27-11'!F8</f>
        <v>0</v>
      </c>
    </row>
    <row r="10" spans="1:7">
      <c r="A10" s="634" t="s">
        <v>12</v>
      </c>
      <c r="B10" s="635" t="s">
        <v>541</v>
      </c>
      <c r="C10" s="636">
        <f>D10+E10</f>
        <v>17603196</v>
      </c>
      <c r="D10" s="636">
        <f>D11+D27+D42+D43+D44+D45</f>
        <v>9139753</v>
      </c>
      <c r="E10" s="636">
        <f>E11+E27+E42+E43+E44+E45+E46</f>
        <v>8463443</v>
      </c>
    </row>
    <row r="11" spans="1:7">
      <c r="A11" s="634" t="s">
        <v>17</v>
      </c>
      <c r="B11" s="635" t="s">
        <v>595</v>
      </c>
      <c r="C11" s="636">
        <f>D11+E11</f>
        <v>2461938</v>
      </c>
      <c r="D11" s="636">
        <f>D12+D25+D26</f>
        <v>1107260</v>
      </c>
      <c r="E11" s="636">
        <f>E12+E25+E26</f>
        <v>1354678</v>
      </c>
      <c r="F11" s="621">
        <f>D9-'ngay 27-11'!F8</f>
        <v>0</v>
      </c>
      <c r="G11" s="621">
        <f>E9-'ngay 27-11'!M8</f>
        <v>0</v>
      </c>
    </row>
    <row r="12" spans="1:7">
      <c r="A12" s="637">
        <v>1</v>
      </c>
      <c r="B12" s="638" t="s">
        <v>596</v>
      </c>
      <c r="C12" s="639">
        <f t="shared" ref="C12:C26" si="0">D12+E12</f>
        <v>2381938</v>
      </c>
      <c r="D12" s="639">
        <f>'ngay 27-11'!F11+'ngay 27-11'!F20+'ngay 27-11'!F21+'ngay 27-11'!F24+'ngay 27-11'!F25+'ngay 27-11'!F26+'ngay 27-11'!F31</f>
        <v>1027260</v>
      </c>
      <c r="E12" s="639">
        <f>'ngay 27-11'!M11+'ngay 27-11'!M17+'ngay 27-11'!M18+'ngay 27-11'!M24+'ngay 27-11'!M25+'ngay 27-11'!M26</f>
        <v>1354678</v>
      </c>
      <c r="G12" s="621"/>
    </row>
    <row r="13" spans="1:7">
      <c r="A13" s="637"/>
      <c r="B13" s="638" t="s">
        <v>544</v>
      </c>
      <c r="C13" s="639">
        <f t="shared" si="0"/>
        <v>0</v>
      </c>
      <c r="D13" s="639"/>
      <c r="E13" s="639"/>
    </row>
    <row r="14" spans="1:7">
      <c r="A14" s="637" t="s">
        <v>257</v>
      </c>
      <c r="B14" s="640" t="s">
        <v>545</v>
      </c>
      <c r="C14" s="639">
        <f t="shared" si="0"/>
        <v>0</v>
      </c>
      <c r="D14" s="639"/>
      <c r="E14" s="639"/>
    </row>
    <row r="15" spans="1:7">
      <c r="A15" s="637" t="s">
        <v>257</v>
      </c>
      <c r="B15" s="640" t="s">
        <v>546</v>
      </c>
      <c r="C15" s="639">
        <f t="shared" si="0"/>
        <v>0</v>
      </c>
      <c r="D15" s="639"/>
      <c r="E15" s="639"/>
    </row>
    <row r="16" spans="1:7">
      <c r="A16" s="637"/>
      <c r="B16" s="640" t="s">
        <v>876</v>
      </c>
      <c r="C16" s="639"/>
      <c r="D16" s="639"/>
      <c r="E16" s="639"/>
    </row>
    <row r="17" spans="1:7">
      <c r="A17" s="637"/>
      <c r="B17" s="638" t="s">
        <v>547</v>
      </c>
      <c r="C17" s="639">
        <f t="shared" si="0"/>
        <v>0</v>
      </c>
      <c r="D17" s="639"/>
      <c r="E17" s="639"/>
    </row>
    <row r="18" spans="1:7">
      <c r="A18" s="637" t="s">
        <v>257</v>
      </c>
      <c r="B18" s="640" t="s">
        <v>409</v>
      </c>
      <c r="C18" s="639">
        <v>869860</v>
      </c>
      <c r="D18" s="639">
        <v>218672</v>
      </c>
      <c r="E18" s="639">
        <v>651188</v>
      </c>
    </row>
    <row r="19" spans="1:7">
      <c r="A19" s="637" t="s">
        <v>257</v>
      </c>
      <c r="B19" s="640" t="s">
        <v>548</v>
      </c>
      <c r="C19" s="639">
        <f t="shared" si="0"/>
        <v>865000</v>
      </c>
      <c r="D19" s="639">
        <f>'ngay 27-11'!F25</f>
        <v>328500</v>
      </c>
      <c r="E19" s="639">
        <f>'ngay 27-11'!M25</f>
        <v>536500</v>
      </c>
      <c r="F19" s="621"/>
    </row>
    <row r="20" spans="1:7">
      <c r="A20" s="637" t="s">
        <v>257</v>
      </c>
      <c r="B20" s="640" t="s">
        <v>549</v>
      </c>
      <c r="C20" s="639">
        <f t="shared" si="0"/>
        <v>76000</v>
      </c>
      <c r="D20" s="639">
        <f>'ngay 27-11'!F26</f>
        <v>60410</v>
      </c>
      <c r="E20" s="639">
        <f>'ngay 27-11'!M26</f>
        <v>15590</v>
      </c>
    </row>
    <row r="21" spans="1:7">
      <c r="A21" s="637" t="s">
        <v>433</v>
      </c>
      <c r="B21" s="640" t="s">
        <v>873</v>
      </c>
      <c r="C21" s="639">
        <f t="shared" si="0"/>
        <v>15000</v>
      </c>
      <c r="D21" s="639"/>
      <c r="E21" s="639">
        <f>'ngay 27-11'!E17</f>
        <v>15000</v>
      </c>
    </row>
    <row r="22" spans="1:7" ht="33">
      <c r="A22" s="637" t="s">
        <v>433</v>
      </c>
      <c r="B22" s="640" t="s">
        <v>892</v>
      </c>
      <c r="C22" s="639">
        <f t="shared" si="0"/>
        <v>12500</v>
      </c>
      <c r="D22" s="639"/>
      <c r="E22" s="639">
        <f>'ngay 27-11'!E18</f>
        <v>12500</v>
      </c>
    </row>
    <row r="23" spans="1:7" ht="33">
      <c r="A23" s="637" t="s">
        <v>433</v>
      </c>
      <c r="B23" s="640" t="s">
        <v>893</v>
      </c>
      <c r="C23" s="639">
        <f t="shared" si="0"/>
        <v>467278</v>
      </c>
      <c r="D23" s="639">
        <f>'ngay 27-11'!F15</f>
        <v>343378</v>
      </c>
      <c r="E23" s="639">
        <f>'ngay 27-11'!M24</f>
        <v>123900</v>
      </c>
    </row>
    <row r="24" spans="1:7">
      <c r="A24" s="637" t="s">
        <v>470</v>
      </c>
      <c r="B24" s="640" t="s">
        <v>573</v>
      </c>
      <c r="C24" s="639">
        <f t="shared" si="0"/>
        <v>76300</v>
      </c>
      <c r="D24" s="639">
        <f>'Bieu 17'!D21</f>
        <v>76300</v>
      </c>
      <c r="E24" s="639"/>
    </row>
    <row r="25" spans="1:7" ht="66">
      <c r="A25" s="637">
        <v>2</v>
      </c>
      <c r="B25" s="638" t="s">
        <v>550</v>
      </c>
      <c r="C25" s="639">
        <f t="shared" si="0"/>
        <v>0</v>
      </c>
      <c r="D25" s="639"/>
      <c r="E25" s="639"/>
    </row>
    <row r="26" spans="1:7">
      <c r="A26" s="637">
        <v>3</v>
      </c>
      <c r="B26" s="638" t="s">
        <v>672</v>
      </c>
      <c r="C26" s="639">
        <f t="shared" si="0"/>
        <v>80000</v>
      </c>
      <c r="D26" s="639">
        <f>'ngay 27-11'!F30</f>
        <v>80000</v>
      </c>
      <c r="E26" s="639">
        <f>'ngay 27-11'!M30</f>
        <v>0</v>
      </c>
    </row>
    <row r="27" spans="1:7">
      <c r="A27" s="634" t="s">
        <v>18</v>
      </c>
      <c r="B27" s="635" t="s">
        <v>551</v>
      </c>
      <c r="C27" s="636">
        <f>D27+E27</f>
        <v>11543671</v>
      </c>
      <c r="D27" s="636">
        <f>SUM(D29:D41)</f>
        <v>4810547</v>
      </c>
      <c r="E27" s="636">
        <f>SUM(E29:E41)</f>
        <v>6733124</v>
      </c>
    </row>
    <row r="28" spans="1:7">
      <c r="A28" s="637"/>
      <c r="B28" s="640" t="s">
        <v>161</v>
      </c>
      <c r="C28" s="639"/>
      <c r="D28" s="639"/>
      <c r="E28" s="639"/>
    </row>
    <row r="29" spans="1:7" hidden="1">
      <c r="A29" s="641">
        <v>1</v>
      </c>
      <c r="B29" s="665" t="s">
        <v>110</v>
      </c>
      <c r="C29" s="639">
        <f>D29+E29</f>
        <v>182554</v>
      </c>
      <c r="D29" s="639">
        <f>'ngay 27-11'!F34</f>
        <v>73662</v>
      </c>
      <c r="E29" s="639">
        <f>'ngay 27-11'!M34</f>
        <v>108892</v>
      </c>
      <c r="G29" s="621"/>
    </row>
    <row r="30" spans="1:7" hidden="1">
      <c r="A30" s="641">
        <v>2</v>
      </c>
      <c r="B30" s="666" t="s">
        <v>388</v>
      </c>
      <c r="C30" s="639">
        <f t="shared" ref="C30:C46" si="1">D30+E30</f>
        <v>82512</v>
      </c>
      <c r="D30" s="639">
        <f>'ngay 27-11'!F42</f>
        <v>34752</v>
      </c>
      <c r="E30" s="639">
        <f>'ngay 27-11'!M42</f>
        <v>47760</v>
      </c>
      <c r="G30" s="621"/>
    </row>
    <row r="31" spans="1:7">
      <c r="A31" s="641">
        <v>1</v>
      </c>
      <c r="B31" s="666" t="s">
        <v>389</v>
      </c>
      <c r="C31" s="639">
        <f t="shared" si="1"/>
        <v>4328909</v>
      </c>
      <c r="D31" s="639">
        <f>'ngay 27-11'!F50</f>
        <v>1260884</v>
      </c>
      <c r="E31" s="639">
        <f>'ngay 27-11'!M50</f>
        <v>3068025</v>
      </c>
      <c r="G31" s="621"/>
    </row>
    <row r="32" spans="1:7">
      <c r="A32" s="641">
        <v>2</v>
      </c>
      <c r="B32" s="666" t="s">
        <v>60</v>
      </c>
      <c r="C32" s="639">
        <f t="shared" si="1"/>
        <v>1109456</v>
      </c>
      <c r="D32" s="639">
        <f>'ngay 27-11'!F72</f>
        <v>1053096</v>
      </c>
      <c r="E32" s="639">
        <f>'ngay 27-11'!M72</f>
        <v>56360</v>
      </c>
      <c r="G32" s="621"/>
    </row>
    <row r="33" spans="1:9">
      <c r="A33" s="641">
        <v>3</v>
      </c>
      <c r="B33" s="666" t="s">
        <v>390</v>
      </c>
      <c r="C33" s="639">
        <f t="shared" si="1"/>
        <v>40290</v>
      </c>
      <c r="D33" s="639">
        <f>'ngay 27-11'!F90</f>
        <v>37740</v>
      </c>
      <c r="E33" s="639">
        <f>'ngay 27-11'!M90</f>
        <v>2550</v>
      </c>
      <c r="G33" s="621"/>
    </row>
    <row r="34" spans="1:9">
      <c r="A34" s="641">
        <v>4</v>
      </c>
      <c r="B34" s="666" t="s">
        <v>391</v>
      </c>
      <c r="C34" s="639">
        <f t="shared" si="1"/>
        <v>217724</v>
      </c>
      <c r="D34" s="639">
        <f>'ngay 27-11'!F93</f>
        <v>141502</v>
      </c>
      <c r="E34" s="639">
        <f>'ngay 27-11'!M93</f>
        <v>76222</v>
      </c>
      <c r="G34" s="621"/>
    </row>
    <row r="35" spans="1:9">
      <c r="A35" s="641">
        <v>5</v>
      </c>
      <c r="B35" s="666" t="s">
        <v>392</v>
      </c>
      <c r="C35" s="639">
        <f t="shared" si="1"/>
        <v>48417</v>
      </c>
      <c r="D35" s="639">
        <f>'ngay 27-11'!F104</f>
        <v>19495</v>
      </c>
      <c r="E35" s="639">
        <f>'ngay 27-11'!M104</f>
        <v>28922</v>
      </c>
      <c r="G35" s="621"/>
    </row>
    <row r="36" spans="1:9">
      <c r="A36" s="641">
        <v>6</v>
      </c>
      <c r="B36" s="666" t="s">
        <v>393</v>
      </c>
      <c r="C36" s="639">
        <f t="shared" si="1"/>
        <v>86851</v>
      </c>
      <c r="D36" s="639">
        <f>'ngay 27-11'!F109</f>
        <v>61124</v>
      </c>
      <c r="E36" s="639">
        <f>'ngay 27-11'!M109</f>
        <v>25727</v>
      </c>
      <c r="G36" s="621"/>
    </row>
    <row r="37" spans="1:9">
      <c r="A37" s="641">
        <v>7</v>
      </c>
      <c r="B37" s="666" t="s">
        <v>394</v>
      </c>
      <c r="C37" s="639">
        <f t="shared" si="1"/>
        <v>1025896</v>
      </c>
      <c r="D37" s="639">
        <f>'ngay 27-11'!F118</f>
        <v>406973</v>
      </c>
      <c r="E37" s="639">
        <f>'ngay 27-11'!M118</f>
        <v>618923</v>
      </c>
      <c r="G37" s="621"/>
    </row>
    <row r="38" spans="1:9">
      <c r="A38" s="641">
        <v>8</v>
      </c>
      <c r="B38" s="666" t="s">
        <v>20</v>
      </c>
      <c r="C38" s="639">
        <f t="shared" si="1"/>
        <v>2034780</v>
      </c>
      <c r="D38" s="548">
        <f>'ngay 27-11'!F137</f>
        <v>927360</v>
      </c>
      <c r="E38" s="639">
        <f>'ngay 27-11'!M137+'ngay 27-11'!M215</f>
        <v>1107420</v>
      </c>
      <c r="G38" s="621"/>
    </row>
    <row r="39" spans="1:9">
      <c r="A39" s="641">
        <v>9</v>
      </c>
      <c r="B39" s="666" t="s">
        <v>131</v>
      </c>
      <c r="C39" s="639">
        <f t="shared" si="1"/>
        <v>171528</v>
      </c>
      <c r="D39" s="639">
        <f>'ngay 27-11'!F151</f>
        <v>102624</v>
      </c>
      <c r="E39" s="639">
        <f>'ngay 27-11'!M151</f>
        <v>68904</v>
      </c>
      <c r="G39" s="621"/>
    </row>
    <row r="40" spans="1:9">
      <c r="A40" s="641">
        <v>10</v>
      </c>
      <c r="B40" s="666" t="s">
        <v>659</v>
      </c>
      <c r="C40" s="639">
        <f t="shared" si="1"/>
        <v>2150852</v>
      </c>
      <c r="D40" s="639">
        <f>'ngay 27-11'!F156</f>
        <v>650667</v>
      </c>
      <c r="E40" s="639">
        <f>'ngay 27-11'!M156</f>
        <v>1500185</v>
      </c>
      <c r="G40" s="621"/>
    </row>
    <row r="41" spans="1:9">
      <c r="A41" s="641">
        <v>11</v>
      </c>
      <c r="B41" s="666" t="s">
        <v>397</v>
      </c>
      <c r="C41" s="639">
        <f t="shared" si="1"/>
        <v>63902</v>
      </c>
      <c r="D41" s="639">
        <f>'ngay 27-11'!F169</f>
        <v>40668</v>
      </c>
      <c r="E41" s="639">
        <f>'ngay 27-11'!M169</f>
        <v>23234</v>
      </c>
      <c r="G41" s="621"/>
    </row>
    <row r="42" spans="1:9" ht="33">
      <c r="A42" s="634" t="s">
        <v>196</v>
      </c>
      <c r="B42" s="635" t="s">
        <v>763</v>
      </c>
      <c r="C42" s="636">
        <f t="shared" si="1"/>
        <v>11901</v>
      </c>
      <c r="D42" s="636">
        <f>'Bieu 17'!D44</f>
        <v>11901</v>
      </c>
      <c r="E42" s="636"/>
      <c r="G42" s="621"/>
    </row>
    <row r="43" spans="1:9">
      <c r="A43" s="634" t="s">
        <v>197</v>
      </c>
      <c r="B43" s="635" t="s">
        <v>877</v>
      </c>
      <c r="C43" s="636">
        <f t="shared" si="1"/>
        <v>1450</v>
      </c>
      <c r="D43" s="636">
        <f>'ngay 27-11'!F213</f>
        <v>1450</v>
      </c>
      <c r="E43" s="636"/>
      <c r="G43" s="621"/>
    </row>
    <row r="44" spans="1:9">
      <c r="A44" s="634" t="s">
        <v>419</v>
      </c>
      <c r="B44" s="635" t="s">
        <v>552</v>
      </c>
      <c r="C44" s="636">
        <f t="shared" si="1"/>
        <v>512325</v>
      </c>
      <c r="D44" s="636">
        <f>'ngay 27-11'!F175</f>
        <v>406081</v>
      </c>
      <c r="E44" s="636">
        <f>'ngay 27-11'!M175</f>
        <v>106244</v>
      </c>
      <c r="G44" s="621"/>
    </row>
    <row r="45" spans="1:9">
      <c r="A45" s="634" t="s">
        <v>422</v>
      </c>
      <c r="B45" s="635" t="s">
        <v>693</v>
      </c>
      <c r="C45" s="636">
        <f t="shared" si="1"/>
        <v>3032462</v>
      </c>
      <c r="D45" s="636">
        <f>'ngay 27-11'!F194</f>
        <v>2802514</v>
      </c>
      <c r="E45" s="636">
        <f>'ngay 27-11'!M194</f>
        <v>229948</v>
      </c>
      <c r="G45" s="621"/>
      <c r="I45" s="621"/>
    </row>
    <row r="46" spans="1:9" ht="33">
      <c r="A46" s="634" t="s">
        <v>423</v>
      </c>
      <c r="B46" s="635" t="s">
        <v>671</v>
      </c>
      <c r="C46" s="636">
        <f t="shared" si="1"/>
        <v>39449</v>
      </c>
      <c r="D46" s="636"/>
      <c r="E46" s="636">
        <f>'ngay 27-11'!M174</f>
        <v>39449</v>
      </c>
      <c r="G46" s="621"/>
      <c r="I46" s="621"/>
    </row>
    <row r="47" spans="1:9">
      <c r="A47" s="634" t="s">
        <v>13</v>
      </c>
      <c r="B47" s="642" t="s">
        <v>553</v>
      </c>
      <c r="C47" s="636">
        <f>C48+C55</f>
        <v>2464674</v>
      </c>
      <c r="D47" s="636">
        <f>D48+D55</f>
        <v>2357164</v>
      </c>
      <c r="E47" s="636">
        <f>E48+E55</f>
        <v>107510</v>
      </c>
    </row>
    <row r="48" spans="1:9">
      <c r="A48" s="634" t="s">
        <v>17</v>
      </c>
      <c r="B48" s="635" t="s">
        <v>554</v>
      </c>
      <c r="C48" s="636">
        <f>C49+C52</f>
        <v>472921</v>
      </c>
      <c r="D48" s="636">
        <f>D49+D52</f>
        <v>472921</v>
      </c>
      <c r="E48" s="636"/>
    </row>
    <row r="49" spans="1:5">
      <c r="A49" s="634">
        <v>1</v>
      </c>
      <c r="B49" s="638" t="s">
        <v>874</v>
      </c>
      <c r="C49" s="639">
        <f t="shared" ref="C49:C77" si="2">D49+E49</f>
        <v>226021</v>
      </c>
      <c r="D49" s="639">
        <f>D50+D51</f>
        <v>226021</v>
      </c>
      <c r="E49" s="639"/>
    </row>
    <row r="50" spans="1:5">
      <c r="A50" s="634"/>
      <c r="B50" s="640" t="s">
        <v>557</v>
      </c>
      <c r="C50" s="639">
        <f t="shared" si="2"/>
        <v>192854</v>
      </c>
      <c r="D50" s="639">
        <f>'Bieu 17'!D52</f>
        <v>192854</v>
      </c>
      <c r="E50" s="639"/>
    </row>
    <row r="51" spans="1:5">
      <c r="A51" s="634"/>
      <c r="B51" s="640" t="s">
        <v>558</v>
      </c>
      <c r="C51" s="639">
        <f t="shared" si="2"/>
        <v>33167</v>
      </c>
      <c r="D51" s="639">
        <f>'Bieu 17'!D53</f>
        <v>33167</v>
      </c>
      <c r="E51" s="639"/>
    </row>
    <row r="52" spans="1:5">
      <c r="A52" s="634">
        <v>2</v>
      </c>
      <c r="B52" s="638" t="s">
        <v>875</v>
      </c>
      <c r="C52" s="639">
        <f t="shared" si="2"/>
        <v>246900</v>
      </c>
      <c r="D52" s="639">
        <f>D53+D54</f>
        <v>246900</v>
      </c>
      <c r="E52" s="639">
        <f>E53+E54</f>
        <v>0</v>
      </c>
    </row>
    <row r="53" spans="1:5">
      <c r="A53" s="634"/>
      <c r="B53" s="640" t="s">
        <v>557</v>
      </c>
      <c r="C53" s="639">
        <f t="shared" si="2"/>
        <v>177100</v>
      </c>
      <c r="D53" s="639">
        <f>'Bieu 17'!D55</f>
        <v>177100</v>
      </c>
      <c r="E53" s="639"/>
    </row>
    <row r="54" spans="1:5">
      <c r="A54" s="634"/>
      <c r="B54" s="640" t="s">
        <v>558</v>
      </c>
      <c r="C54" s="639">
        <f t="shared" si="2"/>
        <v>69800</v>
      </c>
      <c r="D54" s="639">
        <f>'Bieu 17'!D56</f>
        <v>69800</v>
      </c>
      <c r="E54" s="639"/>
    </row>
    <row r="55" spans="1:5">
      <c r="A55" s="634" t="s">
        <v>18</v>
      </c>
      <c r="B55" s="635" t="s">
        <v>555</v>
      </c>
      <c r="C55" s="636">
        <f t="shared" si="2"/>
        <v>1991753</v>
      </c>
      <c r="D55" s="636">
        <f>D56+D60</f>
        <v>1884243</v>
      </c>
      <c r="E55" s="636">
        <f>E56+E60</f>
        <v>107510</v>
      </c>
    </row>
    <row r="56" spans="1:5">
      <c r="A56" s="634">
        <v>1</v>
      </c>
      <c r="B56" s="638" t="s">
        <v>559</v>
      </c>
      <c r="C56" s="639">
        <f t="shared" si="2"/>
        <v>1825177</v>
      </c>
      <c r="D56" s="639">
        <f>D57+D58+D59</f>
        <v>1717667</v>
      </c>
      <c r="E56" s="639">
        <f>E57+E58+E59</f>
        <v>107510</v>
      </c>
    </row>
    <row r="57" spans="1:5">
      <c r="A57" s="634"/>
      <c r="B57" s="640" t="s">
        <v>560</v>
      </c>
      <c r="C57" s="639">
        <f t="shared" si="2"/>
        <v>489799</v>
      </c>
      <c r="D57" s="639">
        <f>'ngay 27-11'!F12</f>
        <v>489799</v>
      </c>
      <c r="E57" s="639">
        <f>'ngay 27-11'!M12</f>
        <v>0</v>
      </c>
    </row>
    <row r="58" spans="1:5">
      <c r="A58" s="634"/>
      <c r="B58" s="640" t="s">
        <v>561</v>
      </c>
      <c r="C58" s="639">
        <f t="shared" si="2"/>
        <v>972378</v>
      </c>
      <c r="D58" s="639">
        <f>'ngay 27-11'!F14-D59</f>
        <v>864868</v>
      </c>
      <c r="E58" s="639">
        <f>'ngay 27-11'!M14</f>
        <v>107510</v>
      </c>
    </row>
    <row r="59" spans="1:5">
      <c r="A59" s="634"/>
      <c r="B59" s="640" t="s">
        <v>562</v>
      </c>
      <c r="C59" s="639">
        <f t="shared" si="2"/>
        <v>363000</v>
      </c>
      <c r="D59" s="639">
        <v>363000</v>
      </c>
      <c r="E59" s="639"/>
    </row>
    <row r="60" spans="1:5">
      <c r="A60" s="634">
        <v>2</v>
      </c>
      <c r="B60" s="638" t="s">
        <v>563</v>
      </c>
      <c r="C60" s="639">
        <f t="shared" si="2"/>
        <v>166576</v>
      </c>
      <c r="D60" s="639">
        <f>D61+D69+D76</f>
        <v>166576</v>
      </c>
      <c r="E60" s="639">
        <f>E61+E69+E76</f>
        <v>0</v>
      </c>
    </row>
    <row r="61" spans="1:5">
      <c r="A61" s="634" t="s">
        <v>61</v>
      </c>
      <c r="B61" s="638" t="s">
        <v>482</v>
      </c>
      <c r="C61" s="639">
        <f t="shared" si="2"/>
        <v>49988</v>
      </c>
      <c r="D61" s="639">
        <f>SUM(D62:D68)</f>
        <v>49988</v>
      </c>
      <c r="E61" s="639">
        <f>SUM(E62:E68)</f>
        <v>0</v>
      </c>
    </row>
    <row r="62" spans="1:5">
      <c r="A62" s="634"/>
      <c r="B62" s="640" t="s">
        <v>565</v>
      </c>
      <c r="C62" s="639">
        <f t="shared" si="2"/>
        <v>4535</v>
      </c>
      <c r="D62" s="639">
        <f>'ngay 27-11'!F178</f>
        <v>4535</v>
      </c>
      <c r="E62" s="639">
        <f>'ngay 27-11'!M178</f>
        <v>0</v>
      </c>
    </row>
    <row r="63" spans="1:5">
      <c r="A63" s="634"/>
      <c r="B63" s="640" t="s">
        <v>571</v>
      </c>
      <c r="C63" s="639">
        <f t="shared" si="2"/>
        <v>25000</v>
      </c>
      <c r="D63" s="639">
        <f>'ngay 27-11'!F179</f>
        <v>25000</v>
      </c>
      <c r="E63" s="639">
        <f>'ngay 27-11'!M179</f>
        <v>0</v>
      </c>
    </row>
    <row r="64" spans="1:5" ht="33">
      <c r="A64" s="634"/>
      <c r="B64" s="640" t="s">
        <v>570</v>
      </c>
      <c r="C64" s="639">
        <f t="shared" si="2"/>
        <v>5782</v>
      </c>
      <c r="D64" s="639">
        <f>'ngay 27-11'!F180</f>
        <v>5782</v>
      </c>
      <c r="E64" s="639">
        <f>'ngay 27-11'!M180</f>
        <v>0</v>
      </c>
    </row>
    <row r="65" spans="1:5" ht="49.5">
      <c r="A65" s="634"/>
      <c r="B65" s="640" t="s">
        <v>567</v>
      </c>
      <c r="C65" s="639">
        <f t="shared" si="2"/>
        <v>2000</v>
      </c>
      <c r="D65" s="639">
        <f>'ngay 27-11'!F181</f>
        <v>2000</v>
      </c>
      <c r="E65" s="639">
        <f>'ngay 27-11'!M181</f>
        <v>0</v>
      </c>
    </row>
    <row r="66" spans="1:5">
      <c r="A66" s="634"/>
      <c r="B66" s="640" t="s">
        <v>568</v>
      </c>
      <c r="C66" s="639">
        <f t="shared" si="2"/>
        <v>1293</v>
      </c>
      <c r="D66" s="639">
        <f>'ngay 27-11'!F182</f>
        <v>1293</v>
      </c>
      <c r="E66" s="639">
        <f>'ngay 27-11'!M182</f>
        <v>0</v>
      </c>
    </row>
    <row r="67" spans="1:5">
      <c r="A67" s="634"/>
      <c r="B67" s="640" t="s">
        <v>569</v>
      </c>
      <c r="C67" s="639">
        <f t="shared" si="2"/>
        <v>8988</v>
      </c>
      <c r="D67" s="639">
        <f>'ngay 27-11'!F183</f>
        <v>8988</v>
      </c>
      <c r="E67" s="639">
        <f>'ngay 27-11'!M183</f>
        <v>0</v>
      </c>
    </row>
    <row r="68" spans="1:5" ht="33">
      <c r="A68" s="634"/>
      <c r="B68" s="640" t="s">
        <v>566</v>
      </c>
      <c r="C68" s="639">
        <f t="shared" si="2"/>
        <v>2390</v>
      </c>
      <c r="D68" s="639">
        <f>'ngay 27-11'!F184</f>
        <v>2390</v>
      </c>
      <c r="E68" s="639">
        <f>'ngay 27-11'!M184</f>
        <v>0</v>
      </c>
    </row>
    <row r="69" spans="1:5">
      <c r="A69" s="637" t="s">
        <v>63</v>
      </c>
      <c r="B69" s="638" t="s">
        <v>564</v>
      </c>
      <c r="C69" s="639">
        <f t="shared" si="2"/>
        <v>37098</v>
      </c>
      <c r="D69" s="639">
        <f>'ngay 27-11'!F185</f>
        <v>37098</v>
      </c>
      <c r="E69" s="639">
        <f>'ngay 27-11'!M185</f>
        <v>0</v>
      </c>
    </row>
    <row r="70" spans="1:5" hidden="1">
      <c r="A70" s="637"/>
      <c r="B70" s="640" t="s">
        <v>894</v>
      </c>
      <c r="C70" s="639">
        <f t="shared" si="2"/>
        <v>600</v>
      </c>
      <c r="D70" s="659">
        <v>600</v>
      </c>
      <c r="E70" s="639"/>
    </row>
    <row r="71" spans="1:5" hidden="1">
      <c r="A71" s="637"/>
      <c r="B71" s="640" t="s">
        <v>895</v>
      </c>
      <c r="C71" s="639">
        <f t="shared" si="2"/>
        <v>485</v>
      </c>
      <c r="D71" s="659">
        <v>485</v>
      </c>
      <c r="E71" s="639"/>
    </row>
    <row r="72" spans="1:5" hidden="1">
      <c r="A72" s="637"/>
      <c r="B72" s="640" t="s">
        <v>896</v>
      </c>
      <c r="C72" s="639">
        <f t="shared" si="2"/>
        <v>100</v>
      </c>
      <c r="D72" s="659">
        <v>100</v>
      </c>
      <c r="E72" s="639"/>
    </row>
    <row r="73" spans="1:5" hidden="1">
      <c r="A73" s="637"/>
      <c r="B73" s="640" t="s">
        <v>897</v>
      </c>
      <c r="C73" s="639">
        <f t="shared" si="2"/>
        <v>980</v>
      </c>
      <c r="D73" s="659">
        <v>980</v>
      </c>
      <c r="E73" s="639"/>
    </row>
    <row r="74" spans="1:5" ht="49.5" hidden="1">
      <c r="A74" s="637"/>
      <c r="B74" s="640" t="s">
        <v>898</v>
      </c>
      <c r="C74" s="639">
        <f t="shared" si="2"/>
        <v>20000</v>
      </c>
      <c r="D74" s="659">
        <v>20000</v>
      </c>
      <c r="E74" s="639"/>
    </row>
    <row r="75" spans="1:5" ht="33" hidden="1">
      <c r="A75" s="637"/>
      <c r="B75" s="640" t="s">
        <v>899</v>
      </c>
      <c r="C75" s="639">
        <f t="shared" si="2"/>
        <v>14933</v>
      </c>
      <c r="D75" s="659">
        <v>14933</v>
      </c>
      <c r="E75" s="639"/>
    </row>
    <row r="76" spans="1:5">
      <c r="A76" s="637" t="s">
        <v>64</v>
      </c>
      <c r="B76" s="638" t="s">
        <v>560</v>
      </c>
      <c r="C76" s="639">
        <f t="shared" si="2"/>
        <v>79490</v>
      </c>
      <c r="D76" s="639">
        <f>'ngay 27-11'!F190</f>
        <v>79490</v>
      </c>
      <c r="E76" s="639">
        <f>'ngay 27-11'!M190</f>
        <v>0</v>
      </c>
    </row>
    <row r="77" spans="1:5" hidden="1">
      <c r="A77" s="634" t="s">
        <v>273</v>
      </c>
      <c r="B77" s="433" t="s">
        <v>556</v>
      </c>
      <c r="C77" s="636">
        <f t="shared" si="2"/>
        <v>0</v>
      </c>
      <c r="D77" s="636"/>
      <c r="E77" s="636">
        <f>'ngay 27-11'!M214</f>
        <v>0</v>
      </c>
    </row>
    <row r="78" spans="1:5">
      <c r="A78" s="644"/>
      <c r="B78" s="644"/>
      <c r="C78" s="644"/>
      <c r="D78" s="644"/>
      <c r="E78" s="644"/>
    </row>
    <row r="102" ht="66.75" customHeight="1"/>
    <row r="137" ht="33.75" customHeight="1"/>
    <row r="150" ht="18" customHeight="1"/>
    <row r="151" ht="18" customHeight="1"/>
    <row r="152" ht="18" customHeight="1"/>
    <row r="155" ht="18" customHeight="1"/>
    <row r="164" ht="19.5" customHeight="1"/>
    <row r="165" ht="19.5" customHeight="1"/>
    <row r="166" ht="19.5" customHeight="1"/>
    <row r="167" ht="19.5" customHeight="1"/>
    <row r="168" ht="19.5" customHeight="1"/>
    <row r="169" ht="19.5" customHeight="1"/>
    <row r="170" ht="19.5" customHeight="1"/>
    <row r="171" ht="24.75" customHeight="1"/>
  </sheetData>
  <mergeCells count="9">
    <mergeCell ref="A6:A7"/>
    <mergeCell ref="B6:B7"/>
    <mergeCell ref="C6:C7"/>
    <mergeCell ref="D6:E6"/>
    <mergeCell ref="D1:E1"/>
    <mergeCell ref="A1:B1"/>
    <mergeCell ref="A3:E3"/>
    <mergeCell ref="A4:E4"/>
    <mergeCell ref="A5:E5"/>
  </mergeCells>
  <pageMargins left="0.39370078740157483" right="0" top="0.55118110236220474" bottom="0.35433070866141736"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3"/>
  <sheetViews>
    <sheetView topLeftCell="A38" workbookViewId="0">
      <selection activeCell="H32" sqref="H32"/>
    </sheetView>
  </sheetViews>
  <sheetFormatPr defaultColWidth="9.140625" defaultRowHeight="16.5"/>
  <cols>
    <col min="1" max="1" width="5.28515625" style="589" customWidth="1"/>
    <col min="2" max="2" width="69.28515625" style="589" customWidth="1"/>
    <col min="3" max="3" width="16.140625" style="589" customWidth="1"/>
    <col min="4" max="4" width="10" style="589" bestFit="1" customWidth="1"/>
    <col min="5" max="16384" width="9.140625" style="589"/>
  </cols>
  <sheetData>
    <row r="1" spans="1:5" ht="25.5" customHeight="1">
      <c r="A1" s="1028" t="s">
        <v>901</v>
      </c>
      <c r="B1" s="1028"/>
    </row>
    <row r="2" spans="1:5">
      <c r="A2" s="1005" t="s">
        <v>967</v>
      </c>
      <c r="B2" s="1005"/>
      <c r="C2" s="1005"/>
    </row>
    <row r="3" spans="1:5" ht="28.5" customHeight="1">
      <c r="A3" s="1030" t="s">
        <v>643</v>
      </c>
      <c r="B3" s="1030"/>
      <c r="C3" s="1030"/>
    </row>
    <row r="4" spans="1:5">
      <c r="A4" s="1006" t="s">
        <v>1002</v>
      </c>
      <c r="B4" s="1006"/>
      <c r="C4" s="1006"/>
      <c r="D4" s="748"/>
      <c r="E4" s="748"/>
    </row>
    <row r="5" spans="1:5" ht="17.25" thickBot="1">
      <c r="A5" s="1031" t="s">
        <v>199</v>
      </c>
      <c r="B5" s="1031"/>
      <c r="C5" s="1031"/>
    </row>
    <row r="6" spans="1:5" ht="37.5" customHeight="1" thickBot="1">
      <c r="A6" s="610" t="s">
        <v>11</v>
      </c>
      <c r="B6" s="586" t="s">
        <v>289</v>
      </c>
      <c r="C6" s="586" t="s">
        <v>472</v>
      </c>
    </row>
    <row r="7" spans="1:5" ht="17.25" thickBot="1">
      <c r="A7" s="591" t="s">
        <v>12</v>
      </c>
      <c r="B7" s="590" t="s">
        <v>13</v>
      </c>
      <c r="C7" s="590">
        <v>1</v>
      </c>
    </row>
    <row r="8" spans="1:5">
      <c r="A8" s="592"/>
      <c r="B8" s="593" t="s">
        <v>383</v>
      </c>
      <c r="C8" s="662">
        <f>C9+C10+C47</f>
        <v>11915602</v>
      </c>
    </row>
    <row r="9" spans="1:5">
      <c r="A9" s="594" t="s">
        <v>12</v>
      </c>
      <c r="B9" s="595" t="s">
        <v>777</v>
      </c>
      <c r="C9" s="663">
        <v>2775849</v>
      </c>
    </row>
    <row r="10" spans="1:5">
      <c r="A10" s="594" t="s">
        <v>13</v>
      </c>
      <c r="B10" s="595" t="s">
        <v>649</v>
      </c>
      <c r="C10" s="663">
        <f>C11+C28+C43+C44+C45+C46</f>
        <v>9139753</v>
      </c>
      <c r="D10" s="680">
        <f>C10-'Biểu 49'!D10</f>
        <v>0</v>
      </c>
    </row>
    <row r="11" spans="1:5">
      <c r="A11" s="594" t="s">
        <v>17</v>
      </c>
      <c r="B11" s="595" t="s">
        <v>778</v>
      </c>
      <c r="C11" s="663">
        <f>C12+C26+C27</f>
        <v>1107260</v>
      </c>
    </row>
    <row r="12" spans="1:5">
      <c r="A12" s="597">
        <v>1</v>
      </c>
      <c r="B12" s="596" t="s">
        <v>596</v>
      </c>
      <c r="C12" s="661">
        <f>'Biểu 49'!D12</f>
        <v>1027260</v>
      </c>
    </row>
    <row r="13" spans="1:5" hidden="1">
      <c r="A13" s="597" t="s">
        <v>257</v>
      </c>
      <c r="B13" s="596" t="s">
        <v>545</v>
      </c>
      <c r="C13" s="661"/>
    </row>
    <row r="14" spans="1:5" hidden="1">
      <c r="A14" s="597" t="s">
        <v>257</v>
      </c>
      <c r="B14" s="596" t="s">
        <v>597</v>
      </c>
      <c r="C14" s="661"/>
    </row>
    <row r="15" spans="1:5" hidden="1">
      <c r="A15" s="597" t="s">
        <v>257</v>
      </c>
      <c r="B15" s="596" t="s">
        <v>110</v>
      </c>
      <c r="C15" s="661"/>
    </row>
    <row r="16" spans="1:5" hidden="1">
      <c r="A16" s="597" t="s">
        <v>257</v>
      </c>
      <c r="B16" s="596" t="s">
        <v>598</v>
      </c>
      <c r="C16" s="661"/>
    </row>
    <row r="17" spans="1:3" hidden="1">
      <c r="A17" s="597" t="s">
        <v>257</v>
      </c>
      <c r="B17" s="596" t="s">
        <v>599</v>
      </c>
      <c r="C17" s="661"/>
    </row>
    <row r="18" spans="1:3" hidden="1">
      <c r="A18" s="597" t="s">
        <v>257</v>
      </c>
      <c r="B18" s="596" t="s">
        <v>600</v>
      </c>
      <c r="C18" s="661"/>
    </row>
    <row r="19" spans="1:3" hidden="1">
      <c r="A19" s="597" t="s">
        <v>257</v>
      </c>
      <c r="B19" s="596" t="s">
        <v>601</v>
      </c>
      <c r="C19" s="661"/>
    </row>
    <row r="20" spans="1:3" hidden="1">
      <c r="A20" s="597" t="s">
        <v>257</v>
      </c>
      <c r="B20" s="596" t="s">
        <v>602</v>
      </c>
      <c r="C20" s="661"/>
    </row>
    <row r="21" spans="1:3" hidden="1">
      <c r="A21" s="597" t="s">
        <v>257</v>
      </c>
      <c r="B21" s="596" t="s">
        <v>603</v>
      </c>
      <c r="C21" s="661"/>
    </row>
    <row r="22" spans="1:3" hidden="1">
      <c r="A22" s="597" t="s">
        <v>257</v>
      </c>
      <c r="B22" s="596" t="s">
        <v>604</v>
      </c>
      <c r="C22" s="661"/>
    </row>
    <row r="23" spans="1:3" hidden="1">
      <c r="A23" s="597" t="s">
        <v>257</v>
      </c>
      <c r="B23" s="596" t="s">
        <v>605</v>
      </c>
      <c r="C23" s="661"/>
    </row>
    <row r="24" spans="1:3" hidden="1">
      <c r="A24" s="597" t="s">
        <v>257</v>
      </c>
      <c r="B24" s="596" t="s">
        <v>606</v>
      </c>
      <c r="C24" s="661"/>
    </row>
    <row r="25" spans="1:3" hidden="1">
      <c r="A25" s="597" t="s">
        <v>257</v>
      </c>
      <c r="B25" s="596" t="s">
        <v>607</v>
      </c>
      <c r="C25" s="661"/>
    </row>
    <row r="26" spans="1:3" ht="33">
      <c r="A26" s="597">
        <v>2</v>
      </c>
      <c r="B26" s="596" t="s">
        <v>648</v>
      </c>
      <c r="C26" s="661"/>
    </row>
    <row r="27" spans="1:3">
      <c r="A27" s="597">
        <v>3</v>
      </c>
      <c r="B27" s="596" t="s">
        <v>426</v>
      </c>
      <c r="C27" s="661">
        <f>'Biểu 49'!D26</f>
        <v>80000</v>
      </c>
    </row>
    <row r="28" spans="1:3">
      <c r="A28" s="594" t="s">
        <v>18</v>
      </c>
      <c r="B28" s="595" t="s">
        <v>551</v>
      </c>
      <c r="C28" s="663">
        <f>SUM(C30:C42)</f>
        <v>4810547</v>
      </c>
    </row>
    <row r="29" spans="1:3">
      <c r="A29" s="594"/>
      <c r="B29" s="916" t="s">
        <v>161</v>
      </c>
      <c r="C29" s="663"/>
    </row>
    <row r="30" spans="1:3" hidden="1">
      <c r="A30" s="921">
        <v>1</v>
      </c>
      <c r="B30" s="919" t="s">
        <v>110</v>
      </c>
      <c r="C30" s="661">
        <f>'Biểu 49'!D29</f>
        <v>73662</v>
      </c>
    </row>
    <row r="31" spans="1:3" hidden="1">
      <c r="A31" s="921">
        <v>2</v>
      </c>
      <c r="B31" s="920" t="s">
        <v>388</v>
      </c>
      <c r="C31" s="661">
        <f>'Biểu 49'!D30</f>
        <v>34752</v>
      </c>
    </row>
    <row r="32" spans="1:3">
      <c r="A32" s="921">
        <v>1</v>
      </c>
      <c r="B32" s="920" t="s">
        <v>389</v>
      </c>
      <c r="C32" s="661">
        <f>'Biểu 49'!D31</f>
        <v>1260884</v>
      </c>
    </row>
    <row r="33" spans="1:3">
      <c r="A33" s="921">
        <v>2</v>
      </c>
      <c r="B33" s="920" t="s">
        <v>60</v>
      </c>
      <c r="C33" s="661">
        <f>'Biểu 49'!D32</f>
        <v>1053096</v>
      </c>
    </row>
    <row r="34" spans="1:3">
      <c r="A34" s="921">
        <v>3</v>
      </c>
      <c r="B34" s="920" t="s">
        <v>390</v>
      </c>
      <c r="C34" s="661">
        <f>'Biểu 49'!D33</f>
        <v>37740</v>
      </c>
    </row>
    <row r="35" spans="1:3">
      <c r="A35" s="921">
        <v>4</v>
      </c>
      <c r="B35" s="920" t="s">
        <v>391</v>
      </c>
      <c r="C35" s="661">
        <f>'Biểu 49'!D34</f>
        <v>141502</v>
      </c>
    </row>
    <row r="36" spans="1:3">
      <c r="A36" s="921">
        <v>5</v>
      </c>
      <c r="B36" s="920" t="s">
        <v>392</v>
      </c>
      <c r="C36" s="661">
        <f>'Biểu 49'!D35</f>
        <v>19495</v>
      </c>
    </row>
    <row r="37" spans="1:3">
      <c r="A37" s="921">
        <v>6</v>
      </c>
      <c r="B37" s="920" t="s">
        <v>393</v>
      </c>
      <c r="C37" s="661">
        <f>'Biểu 49'!D36</f>
        <v>61124</v>
      </c>
    </row>
    <row r="38" spans="1:3">
      <c r="A38" s="921">
        <v>7</v>
      </c>
      <c r="B38" s="920" t="s">
        <v>394</v>
      </c>
      <c r="C38" s="661">
        <f>'Biểu 49'!D37</f>
        <v>406973</v>
      </c>
    </row>
    <row r="39" spans="1:3">
      <c r="A39" s="921">
        <v>8</v>
      </c>
      <c r="B39" s="920" t="s">
        <v>20</v>
      </c>
      <c r="C39" s="661">
        <f>'Biểu 49'!D38</f>
        <v>927360</v>
      </c>
    </row>
    <row r="40" spans="1:3">
      <c r="A40" s="921">
        <v>9</v>
      </c>
      <c r="B40" s="920" t="s">
        <v>131</v>
      </c>
      <c r="C40" s="661">
        <f>'Biểu 49'!D39</f>
        <v>102624</v>
      </c>
    </row>
    <row r="41" spans="1:3">
      <c r="A41" s="921">
        <v>10</v>
      </c>
      <c r="B41" s="920" t="s">
        <v>659</v>
      </c>
      <c r="C41" s="661">
        <f>'Biểu 49'!D40</f>
        <v>650667</v>
      </c>
    </row>
    <row r="42" spans="1:3">
      <c r="A42" s="921">
        <v>11</v>
      </c>
      <c r="B42" s="920" t="s">
        <v>397</v>
      </c>
      <c r="C42" s="661">
        <f>'Biểu 49'!D41</f>
        <v>40668</v>
      </c>
    </row>
    <row r="43" spans="1:3">
      <c r="A43" s="594" t="s">
        <v>196</v>
      </c>
      <c r="B43" s="595" t="s">
        <v>763</v>
      </c>
      <c r="C43" s="663">
        <f>'Biểu 49'!D42</f>
        <v>11901</v>
      </c>
    </row>
    <row r="44" spans="1:3">
      <c r="A44" s="594" t="s">
        <v>197</v>
      </c>
      <c r="B44" s="595" t="s">
        <v>572</v>
      </c>
      <c r="C44" s="663">
        <f>'Biểu 49'!D43</f>
        <v>1450</v>
      </c>
    </row>
    <row r="45" spans="1:3">
      <c r="A45" s="594" t="s">
        <v>419</v>
      </c>
      <c r="B45" s="595" t="s">
        <v>552</v>
      </c>
      <c r="C45" s="663">
        <f>'Biểu 49'!D44</f>
        <v>406081</v>
      </c>
    </row>
    <row r="46" spans="1:3">
      <c r="A46" s="594" t="s">
        <v>422</v>
      </c>
      <c r="B46" s="595" t="s">
        <v>693</v>
      </c>
      <c r="C46" s="663">
        <f>'Biểu 49'!D45</f>
        <v>2802514</v>
      </c>
    </row>
    <row r="47" spans="1:3" ht="17.25" thickBot="1">
      <c r="A47" s="598" t="s">
        <v>273</v>
      </c>
      <c r="B47" s="599" t="s">
        <v>556</v>
      </c>
      <c r="C47" s="664">
        <f>'Biểu 49'!D77</f>
        <v>0</v>
      </c>
    </row>
    <row r="48" spans="1:3" ht="38.25" hidden="1" customHeight="1">
      <c r="A48" s="1032" t="s">
        <v>608</v>
      </c>
      <c r="B48" s="1032"/>
      <c r="C48" s="1032"/>
    </row>
    <row r="49" spans="1:3" ht="84.75" hidden="1" customHeight="1">
      <c r="A49" s="1029" t="s">
        <v>609</v>
      </c>
      <c r="B49" s="1029"/>
      <c r="C49" s="1029"/>
    </row>
    <row r="50" spans="1:3" ht="54" hidden="1" customHeight="1">
      <c r="A50" s="1029" t="s">
        <v>610</v>
      </c>
      <c r="B50" s="1029"/>
      <c r="C50" s="1029"/>
    </row>
    <row r="51" spans="1:3" ht="19.5" customHeight="1">
      <c r="A51" s="608"/>
    </row>
    <row r="52" spans="1:3" ht="19.5" customHeight="1"/>
    <row r="53" spans="1:3" ht="24.75" customHeight="1"/>
  </sheetData>
  <mergeCells count="8">
    <mergeCell ref="A1:B1"/>
    <mergeCell ref="A49:C49"/>
    <mergeCell ref="A50:C50"/>
    <mergeCell ref="A2:C2"/>
    <mergeCell ref="A3:C3"/>
    <mergeCell ref="A4:C4"/>
    <mergeCell ref="A5:C5"/>
    <mergeCell ref="A48:C48"/>
  </mergeCells>
  <pageMargins left="0.70866141732283472" right="0" top="0.74803149606299213" bottom="0.55118110236220474" header="0.31496062992125984" footer="0.31496062992125984"/>
  <pageSetup paperSize="9" orientation="portrait" r:id="rId1"/>
  <headerFooter>
    <oddHeader>&amp;R&amp;D/&amp;T</oddHead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38"/>
  <sheetViews>
    <sheetView workbookViewId="0">
      <selection activeCell="P4" sqref="P4"/>
    </sheetView>
  </sheetViews>
  <sheetFormatPr defaultRowHeight="12.75"/>
  <cols>
    <col min="1" max="1" width="5.140625" customWidth="1"/>
    <col min="2" max="2" width="30.42578125" customWidth="1"/>
  </cols>
  <sheetData>
    <row r="1" spans="1:14" ht="25.5" customHeight="1">
      <c r="A1" s="1035" t="s">
        <v>1007</v>
      </c>
      <c r="B1" s="1035"/>
      <c r="C1" s="1035"/>
      <c r="D1" s="922"/>
      <c r="E1" s="922"/>
      <c r="F1" s="923"/>
      <c r="G1" s="923"/>
      <c r="H1" s="923"/>
      <c r="I1" s="923"/>
      <c r="J1" s="924"/>
      <c r="K1" s="924"/>
      <c r="L1" s="1036" t="s">
        <v>1008</v>
      </c>
      <c r="M1" s="1036"/>
      <c r="N1" s="1036"/>
    </row>
    <row r="2" spans="1:14" ht="31.5" customHeight="1">
      <c r="A2" s="1037" t="s">
        <v>1009</v>
      </c>
      <c r="B2" s="1037"/>
      <c r="C2" s="1037"/>
      <c r="D2" s="1037"/>
      <c r="E2" s="1037"/>
      <c r="F2" s="1037"/>
      <c r="G2" s="1037"/>
      <c r="H2" s="1037"/>
      <c r="I2" s="1037"/>
      <c r="J2" s="1037"/>
      <c r="K2" s="1037"/>
      <c r="L2" s="1037"/>
      <c r="M2" s="1037"/>
      <c r="N2" s="1037"/>
    </row>
    <row r="3" spans="1:14" ht="15.75">
      <c r="A3" s="925"/>
      <c r="B3" s="926"/>
      <c r="C3" s="927"/>
      <c r="D3" s="927"/>
      <c r="E3" s="927"/>
      <c r="F3" s="928"/>
      <c r="G3" s="928"/>
      <c r="H3" s="928"/>
      <c r="I3" s="928"/>
      <c r="J3" s="929"/>
      <c r="K3" s="929"/>
      <c r="L3" s="1038" t="s">
        <v>1010</v>
      </c>
      <c r="M3" s="1038"/>
      <c r="N3" s="1038"/>
    </row>
    <row r="4" spans="1:14" ht="15.75">
      <c r="A4" s="1039" t="s">
        <v>378</v>
      </c>
      <c r="B4" s="1040" t="s">
        <v>1011</v>
      </c>
      <c r="C4" s="1040" t="s">
        <v>1012</v>
      </c>
      <c r="D4" s="1033" t="s">
        <v>1013</v>
      </c>
      <c r="E4" s="1043"/>
      <c r="F4" s="1043"/>
      <c r="G4" s="1043"/>
      <c r="H4" s="1043"/>
      <c r="I4" s="1043"/>
      <c r="J4" s="1043"/>
      <c r="K4" s="1043"/>
      <c r="L4" s="1043"/>
      <c r="M4" s="1043"/>
      <c r="N4" s="1034"/>
    </row>
    <row r="5" spans="1:14" ht="15.75">
      <c r="A5" s="1039"/>
      <c r="B5" s="1041"/>
      <c r="C5" s="1041"/>
      <c r="D5" s="1040" t="s">
        <v>1014</v>
      </c>
      <c r="E5" s="1040" t="s">
        <v>1015</v>
      </c>
      <c r="F5" s="1040" t="s">
        <v>1016</v>
      </c>
      <c r="G5" s="1040" t="s">
        <v>1017</v>
      </c>
      <c r="H5" s="1040" t="s">
        <v>1018</v>
      </c>
      <c r="I5" s="1040" t="s">
        <v>1019</v>
      </c>
      <c r="J5" s="1040" t="s">
        <v>1020</v>
      </c>
      <c r="K5" s="1033" t="s">
        <v>1021</v>
      </c>
      <c r="L5" s="1034"/>
      <c r="M5" s="1040" t="s">
        <v>1022</v>
      </c>
      <c r="N5" s="1040" t="s">
        <v>1023</v>
      </c>
    </row>
    <row r="6" spans="1:14" ht="126">
      <c r="A6" s="1039"/>
      <c r="B6" s="1042"/>
      <c r="C6" s="1042"/>
      <c r="D6" s="1042"/>
      <c r="E6" s="1042"/>
      <c r="F6" s="1042"/>
      <c r="G6" s="1042"/>
      <c r="H6" s="1042"/>
      <c r="I6" s="1042"/>
      <c r="J6" s="1042"/>
      <c r="K6" s="930" t="s">
        <v>1024</v>
      </c>
      <c r="L6" s="930" t="s">
        <v>1025</v>
      </c>
      <c r="M6" s="1042"/>
      <c r="N6" s="1042"/>
    </row>
    <row r="7" spans="1:14" ht="15.75">
      <c r="A7" s="957" t="s">
        <v>12</v>
      </c>
      <c r="B7" s="930" t="s">
        <v>13</v>
      </c>
      <c r="C7" s="930">
        <v>1</v>
      </c>
      <c r="D7" s="930">
        <v>2</v>
      </c>
      <c r="E7" s="930">
        <v>3</v>
      </c>
      <c r="F7" s="930">
        <v>4</v>
      </c>
      <c r="G7" s="930">
        <v>5</v>
      </c>
      <c r="H7" s="930">
        <v>6</v>
      </c>
      <c r="I7" s="930">
        <v>7</v>
      </c>
      <c r="J7" s="930">
        <v>8</v>
      </c>
      <c r="K7" s="930">
        <v>9</v>
      </c>
      <c r="L7" s="930">
        <v>10</v>
      </c>
      <c r="M7" s="930">
        <v>11</v>
      </c>
      <c r="N7" s="930">
        <v>12</v>
      </c>
    </row>
    <row r="8" spans="1:14" ht="15.75">
      <c r="A8" s="931"/>
      <c r="B8" s="932" t="s">
        <v>1026</v>
      </c>
      <c r="C8" s="933">
        <f t="shared" ref="C8:N8" si="0">SUM(C10:C38)</f>
        <v>272081</v>
      </c>
      <c r="D8" s="933">
        <f t="shared" si="0"/>
        <v>16806</v>
      </c>
      <c r="E8" s="933">
        <f t="shared" si="0"/>
        <v>2400</v>
      </c>
      <c r="F8" s="933">
        <f t="shared" si="0"/>
        <v>16456</v>
      </c>
      <c r="G8" s="933">
        <f t="shared" si="0"/>
        <v>8500</v>
      </c>
      <c r="H8" s="933">
        <f t="shared" si="0"/>
        <v>3000</v>
      </c>
      <c r="I8" s="933">
        <f t="shared" si="0"/>
        <v>600</v>
      </c>
      <c r="J8" s="933">
        <f t="shared" si="0"/>
        <v>132009</v>
      </c>
      <c r="K8" s="933">
        <f t="shared" si="0"/>
        <v>115499</v>
      </c>
      <c r="L8" s="933">
        <f t="shared" si="0"/>
        <v>9110</v>
      </c>
      <c r="M8" s="933">
        <f t="shared" si="0"/>
        <v>23300</v>
      </c>
      <c r="N8" s="933">
        <f t="shared" si="0"/>
        <v>6000</v>
      </c>
    </row>
    <row r="9" spans="1:14" ht="15.75">
      <c r="A9" s="931"/>
      <c r="B9" s="934" t="s">
        <v>1013</v>
      </c>
      <c r="C9" s="933"/>
      <c r="D9" s="933"/>
      <c r="E9" s="933"/>
      <c r="F9" s="933"/>
      <c r="G9" s="933"/>
      <c r="H9" s="933"/>
      <c r="I9" s="933"/>
      <c r="J9" s="933"/>
      <c r="K9" s="933"/>
      <c r="L9" s="933"/>
      <c r="M9" s="933"/>
      <c r="N9" s="933"/>
    </row>
    <row r="10" spans="1:14" ht="25.5" hidden="1" customHeight="1">
      <c r="A10" s="935">
        <v>1</v>
      </c>
      <c r="B10" s="936" t="s">
        <v>1027</v>
      </c>
      <c r="C10" s="937">
        <f>400+238+1000</f>
        <v>1638</v>
      </c>
      <c r="D10" s="937"/>
      <c r="E10" s="937"/>
      <c r="F10" s="938"/>
      <c r="G10" s="938"/>
      <c r="H10" s="938"/>
      <c r="I10" s="938"/>
      <c r="J10" s="937"/>
      <c r="K10" s="937"/>
      <c r="L10" s="937"/>
      <c r="M10" s="937"/>
      <c r="N10" s="937"/>
    </row>
    <row r="11" spans="1:14" ht="24" hidden="1" customHeight="1">
      <c r="A11" s="939">
        <v>2</v>
      </c>
      <c r="B11" s="940" t="s">
        <v>864</v>
      </c>
      <c r="C11" s="941">
        <v>500</v>
      </c>
      <c r="D11" s="941"/>
      <c r="E11" s="941"/>
      <c r="F11" s="942"/>
      <c r="G11" s="942"/>
      <c r="H11" s="942"/>
      <c r="I11" s="942"/>
      <c r="J11" s="941"/>
      <c r="K11" s="941"/>
      <c r="L11" s="941"/>
      <c r="M11" s="941"/>
      <c r="N11" s="941"/>
    </row>
    <row r="12" spans="1:14" ht="25.5" hidden="1" customHeight="1">
      <c r="A12" s="939">
        <v>3</v>
      </c>
      <c r="B12" s="940" t="s">
        <v>882</v>
      </c>
      <c r="C12" s="941">
        <f>2000+6900</f>
        <v>8900</v>
      </c>
      <c r="D12" s="941"/>
      <c r="E12" s="941"/>
      <c r="F12" s="942"/>
      <c r="G12" s="942"/>
      <c r="H12" s="942"/>
      <c r="I12" s="942"/>
      <c r="J12" s="941"/>
      <c r="K12" s="941"/>
      <c r="L12" s="941"/>
      <c r="M12" s="941">
        <v>6900</v>
      </c>
      <c r="N12" s="941"/>
    </row>
    <row r="13" spans="1:14" ht="26.25" customHeight="1">
      <c r="A13" s="939">
        <v>1</v>
      </c>
      <c r="B13" s="943" t="s">
        <v>1028</v>
      </c>
      <c r="C13" s="944">
        <f>1000+3700+3000+2500+12799+12000+1100+1000+1500+1000</f>
        <v>39599</v>
      </c>
      <c r="D13" s="944">
        <f>1000+3700</f>
        <v>4700</v>
      </c>
      <c r="E13" s="944"/>
      <c r="F13" s="945">
        <v>3000</v>
      </c>
      <c r="G13" s="945">
        <v>2500</v>
      </c>
      <c r="H13" s="945"/>
      <c r="I13" s="945"/>
      <c r="J13" s="944">
        <f>12799+12000+1100</f>
        <v>25899</v>
      </c>
      <c r="K13" s="944">
        <f>12799+12000</f>
        <v>24799</v>
      </c>
      <c r="L13" s="944"/>
      <c r="M13" s="944">
        <v>1000</v>
      </c>
      <c r="N13" s="944">
        <v>1500</v>
      </c>
    </row>
    <row r="14" spans="1:14" ht="24.75" customHeight="1">
      <c r="A14" s="939">
        <v>2</v>
      </c>
      <c r="B14" s="943" t="s">
        <v>809</v>
      </c>
      <c r="C14" s="944">
        <f>3000+2996+3000+3110+400</f>
        <v>12506</v>
      </c>
      <c r="D14" s="944">
        <v>12106</v>
      </c>
      <c r="E14" s="944"/>
      <c r="F14" s="945"/>
      <c r="G14" s="945"/>
      <c r="H14" s="945"/>
      <c r="I14" s="945"/>
      <c r="J14" s="944"/>
      <c r="K14" s="944"/>
      <c r="L14" s="944"/>
      <c r="M14" s="944">
        <v>400</v>
      </c>
      <c r="N14" s="944"/>
    </row>
    <row r="15" spans="1:14" ht="27" customHeight="1">
      <c r="A15" s="939">
        <v>3</v>
      </c>
      <c r="B15" s="940" t="s">
        <v>811</v>
      </c>
      <c r="C15" s="941">
        <v>2400</v>
      </c>
      <c r="D15" s="941"/>
      <c r="E15" s="941">
        <v>2400</v>
      </c>
      <c r="F15" s="942"/>
      <c r="G15" s="942"/>
      <c r="H15" s="942"/>
      <c r="I15" s="942"/>
      <c r="J15" s="941"/>
      <c r="K15" s="941"/>
      <c r="L15" s="941"/>
      <c r="M15" s="941"/>
      <c r="N15" s="941"/>
    </row>
    <row r="16" spans="1:14" ht="18.75" customHeight="1">
      <c r="A16" s="939">
        <v>4</v>
      </c>
      <c r="B16" s="946" t="s">
        <v>806</v>
      </c>
      <c r="C16" s="944">
        <v>11956</v>
      </c>
      <c r="D16" s="944"/>
      <c r="E16" s="944"/>
      <c r="F16" s="944">
        <f>956+3000+1000+1000+1500+1500+1500+1500</f>
        <v>11956</v>
      </c>
      <c r="G16" s="944"/>
      <c r="H16" s="944"/>
      <c r="I16" s="944"/>
      <c r="J16" s="944"/>
      <c r="K16" s="944"/>
      <c r="L16" s="944"/>
      <c r="M16" s="944"/>
      <c r="N16" s="944"/>
    </row>
    <row r="17" spans="1:14" ht="25.5" customHeight="1">
      <c r="A17" s="939">
        <v>5</v>
      </c>
      <c r="B17" s="940" t="s">
        <v>1029</v>
      </c>
      <c r="C17" s="941">
        <v>1500</v>
      </c>
      <c r="D17" s="941"/>
      <c r="E17" s="941"/>
      <c r="F17" s="942">
        <v>1500</v>
      </c>
      <c r="G17" s="942"/>
      <c r="H17" s="942"/>
      <c r="I17" s="942"/>
      <c r="J17" s="941"/>
      <c r="K17" s="941"/>
      <c r="L17" s="941"/>
      <c r="M17" s="941"/>
      <c r="N17" s="941"/>
    </row>
    <row r="18" spans="1:14" ht="24" customHeight="1">
      <c r="A18" s="939">
        <v>6</v>
      </c>
      <c r="B18" s="940" t="s">
        <v>1030</v>
      </c>
      <c r="C18" s="941">
        <f>1500+500+2000+600+5772</f>
        <v>10372</v>
      </c>
      <c r="D18" s="941"/>
      <c r="E18" s="941"/>
      <c r="F18" s="942"/>
      <c r="G18" s="942">
        <f>2000+2000</f>
        <v>4000</v>
      </c>
      <c r="H18" s="942"/>
      <c r="I18" s="942">
        <v>600</v>
      </c>
      <c r="J18" s="941"/>
      <c r="K18" s="941"/>
      <c r="L18" s="941"/>
      <c r="M18" s="941"/>
      <c r="N18" s="941"/>
    </row>
    <row r="19" spans="1:14" ht="24" customHeight="1">
      <c r="A19" s="939">
        <v>7</v>
      </c>
      <c r="B19" s="940" t="s">
        <v>1031</v>
      </c>
      <c r="C19" s="941">
        <v>1000</v>
      </c>
      <c r="D19" s="941"/>
      <c r="E19" s="941"/>
      <c r="F19" s="942"/>
      <c r="G19" s="942">
        <v>1000</v>
      </c>
      <c r="H19" s="942"/>
      <c r="I19" s="942"/>
      <c r="J19" s="941"/>
      <c r="K19" s="941"/>
      <c r="L19" s="941"/>
      <c r="M19" s="941"/>
      <c r="N19" s="941"/>
    </row>
    <row r="20" spans="1:14" ht="24.75" customHeight="1">
      <c r="A20" s="939">
        <v>8</v>
      </c>
      <c r="B20" s="947" t="s">
        <v>800</v>
      </c>
      <c r="C20" s="948">
        <v>1000</v>
      </c>
      <c r="D20" s="948"/>
      <c r="E20" s="948"/>
      <c r="F20" s="949"/>
      <c r="G20" s="949">
        <v>1000</v>
      </c>
      <c r="H20" s="949"/>
      <c r="I20" s="949"/>
      <c r="J20" s="948"/>
      <c r="K20" s="948"/>
      <c r="L20" s="948"/>
      <c r="M20" s="948"/>
      <c r="N20" s="948"/>
    </row>
    <row r="21" spans="1:14" ht="24.75" customHeight="1">
      <c r="A21" s="939">
        <v>9</v>
      </c>
      <c r="B21" s="940" t="s">
        <v>1032</v>
      </c>
      <c r="C21" s="941">
        <v>3000</v>
      </c>
      <c r="D21" s="941"/>
      <c r="E21" s="941"/>
      <c r="F21" s="942"/>
      <c r="G21" s="942"/>
      <c r="H21" s="942">
        <v>3000</v>
      </c>
      <c r="I21" s="942"/>
      <c r="J21" s="941"/>
      <c r="K21" s="941"/>
      <c r="L21" s="941"/>
      <c r="M21" s="941"/>
      <c r="N21" s="941"/>
    </row>
    <row r="22" spans="1:14" ht="24.75" customHeight="1">
      <c r="A22" s="939">
        <v>10</v>
      </c>
      <c r="B22" s="940" t="s">
        <v>1033</v>
      </c>
      <c r="C22" s="941">
        <f>300+800+2000</f>
        <v>3100</v>
      </c>
      <c r="D22" s="941"/>
      <c r="E22" s="941"/>
      <c r="F22" s="942"/>
      <c r="G22" s="942"/>
      <c r="H22" s="942"/>
      <c r="I22" s="942"/>
      <c r="J22" s="941"/>
      <c r="K22" s="941"/>
      <c r="L22" s="941"/>
      <c r="M22" s="941">
        <f>300+800+2000</f>
        <v>3100</v>
      </c>
      <c r="N22" s="941"/>
    </row>
    <row r="23" spans="1:14" ht="22.5" customHeight="1">
      <c r="A23" s="939">
        <v>11</v>
      </c>
      <c r="B23" s="940" t="s">
        <v>1034</v>
      </c>
      <c r="C23" s="941">
        <f>60+100+250+400+1000+500+3000+500+500</f>
        <v>6310</v>
      </c>
      <c r="D23" s="941"/>
      <c r="E23" s="941"/>
      <c r="F23" s="942"/>
      <c r="G23" s="942"/>
      <c r="H23" s="942"/>
      <c r="I23" s="942"/>
      <c r="J23" s="941">
        <f>810+1000+500+3000</f>
        <v>5310</v>
      </c>
      <c r="K23" s="941"/>
      <c r="L23" s="941">
        <f>810+1000+500+3000</f>
        <v>5310</v>
      </c>
      <c r="M23" s="941">
        <v>500</v>
      </c>
      <c r="N23" s="941"/>
    </row>
    <row r="24" spans="1:14" ht="40.5" customHeight="1">
      <c r="A24" s="939">
        <v>12</v>
      </c>
      <c r="B24" s="940" t="s">
        <v>1035</v>
      </c>
      <c r="C24" s="941">
        <f>1000+1100</f>
        <v>2100</v>
      </c>
      <c r="D24" s="941"/>
      <c r="E24" s="941"/>
      <c r="F24" s="942"/>
      <c r="G24" s="942"/>
      <c r="H24" s="942"/>
      <c r="I24" s="942"/>
      <c r="J24" s="941">
        <v>1000</v>
      </c>
      <c r="K24" s="941"/>
      <c r="L24" s="941">
        <v>1000</v>
      </c>
      <c r="M24" s="941"/>
      <c r="N24" s="941"/>
    </row>
    <row r="25" spans="1:14" ht="38.25" customHeight="1">
      <c r="A25" s="939">
        <v>13</v>
      </c>
      <c r="B25" s="940" t="s">
        <v>1036</v>
      </c>
      <c r="C25" s="941">
        <f>2800+4000+5000</f>
        <v>11800</v>
      </c>
      <c r="D25" s="941"/>
      <c r="E25" s="941"/>
      <c r="F25" s="942"/>
      <c r="G25" s="942"/>
      <c r="H25" s="942"/>
      <c r="I25" s="942"/>
      <c r="J25" s="941">
        <f>2800+5000</f>
        <v>7800</v>
      </c>
      <c r="K25" s="941">
        <v>5000</v>
      </c>
      <c r="L25" s="941">
        <v>2800</v>
      </c>
      <c r="M25" s="941"/>
      <c r="N25" s="941"/>
    </row>
    <row r="26" spans="1:14" ht="24" customHeight="1">
      <c r="A26" s="939">
        <v>14</v>
      </c>
      <c r="B26" s="940" t="s">
        <v>812</v>
      </c>
      <c r="C26" s="941">
        <f>2700+800</f>
        <v>3500</v>
      </c>
      <c r="D26" s="941"/>
      <c r="E26" s="941"/>
      <c r="F26" s="942"/>
      <c r="G26" s="942"/>
      <c r="H26" s="942"/>
      <c r="I26" s="942"/>
      <c r="J26" s="941">
        <v>2700</v>
      </c>
      <c r="K26" s="941">
        <v>2700</v>
      </c>
      <c r="L26" s="941"/>
      <c r="M26" s="941">
        <v>800</v>
      </c>
      <c r="N26" s="941"/>
    </row>
    <row r="27" spans="1:14" ht="24.75" customHeight="1">
      <c r="A27" s="939">
        <v>15</v>
      </c>
      <c r="B27" s="940" t="s">
        <v>1037</v>
      </c>
      <c r="C27" s="941">
        <f>2000+6000+4300+44000+6300+30000</f>
        <v>92600</v>
      </c>
      <c r="D27" s="941"/>
      <c r="E27" s="941"/>
      <c r="F27" s="942"/>
      <c r="G27" s="942"/>
      <c r="H27" s="942"/>
      <c r="I27" s="942"/>
      <c r="J27" s="941">
        <f>2000+6000+36300</f>
        <v>44300</v>
      </c>
      <c r="K27" s="941">
        <f>2000+6000+30000</f>
        <v>38000</v>
      </c>
      <c r="L27" s="941"/>
      <c r="M27" s="941">
        <v>4300</v>
      </c>
      <c r="N27" s="941"/>
    </row>
    <row r="28" spans="1:14" ht="35.25" customHeight="1">
      <c r="A28" s="939">
        <v>16</v>
      </c>
      <c r="B28" s="940" t="s">
        <v>1038</v>
      </c>
      <c r="C28" s="941">
        <f>10000+35000</f>
        <v>45000</v>
      </c>
      <c r="D28" s="941"/>
      <c r="E28" s="941"/>
      <c r="F28" s="942"/>
      <c r="G28" s="942"/>
      <c r="H28" s="942"/>
      <c r="I28" s="942"/>
      <c r="J28" s="941">
        <f>10000+35000</f>
        <v>45000</v>
      </c>
      <c r="K28" s="941">
        <f>10000+35000</f>
        <v>45000</v>
      </c>
      <c r="L28" s="941"/>
      <c r="M28" s="941"/>
      <c r="N28" s="941"/>
    </row>
    <row r="29" spans="1:14" ht="25.5" customHeight="1">
      <c r="A29" s="939">
        <v>17</v>
      </c>
      <c r="B29" s="940" t="s">
        <v>1039</v>
      </c>
      <c r="C29" s="941">
        <v>300</v>
      </c>
      <c r="D29" s="941"/>
      <c r="E29" s="941"/>
      <c r="F29" s="942"/>
      <c r="G29" s="942"/>
      <c r="H29" s="942"/>
      <c r="I29" s="942"/>
      <c r="J29" s="941"/>
      <c r="K29" s="941"/>
      <c r="L29" s="941"/>
      <c r="M29" s="941">
        <v>300</v>
      </c>
      <c r="N29" s="941"/>
    </row>
    <row r="30" spans="1:14" ht="29.25" customHeight="1">
      <c r="A30" s="939">
        <v>18</v>
      </c>
      <c r="B30" s="940" t="s">
        <v>1040</v>
      </c>
      <c r="C30" s="941">
        <v>200</v>
      </c>
      <c r="D30" s="941"/>
      <c r="E30" s="941"/>
      <c r="F30" s="942"/>
      <c r="G30" s="942"/>
      <c r="H30" s="942"/>
      <c r="I30" s="942"/>
      <c r="J30" s="941"/>
      <c r="K30" s="941"/>
      <c r="L30" s="941"/>
      <c r="M30" s="941">
        <v>200</v>
      </c>
      <c r="N30" s="941"/>
    </row>
    <row r="31" spans="1:14" ht="27" customHeight="1">
      <c r="A31" s="939">
        <v>19</v>
      </c>
      <c r="B31" s="940" t="s">
        <v>1041</v>
      </c>
      <c r="C31" s="941">
        <f>400+3000</f>
        <v>3400</v>
      </c>
      <c r="D31" s="941"/>
      <c r="E31" s="941"/>
      <c r="F31" s="942"/>
      <c r="G31" s="942"/>
      <c r="H31" s="942"/>
      <c r="I31" s="942"/>
      <c r="J31" s="941"/>
      <c r="K31" s="941"/>
      <c r="L31" s="941"/>
      <c r="M31" s="941">
        <v>400</v>
      </c>
      <c r="N31" s="941">
        <v>3000</v>
      </c>
    </row>
    <row r="32" spans="1:14" ht="29.25" customHeight="1">
      <c r="A32" s="939">
        <v>20</v>
      </c>
      <c r="B32" s="940" t="s">
        <v>1042</v>
      </c>
      <c r="C32" s="941">
        <v>400</v>
      </c>
      <c r="D32" s="941"/>
      <c r="E32" s="941"/>
      <c r="F32" s="942"/>
      <c r="G32" s="942"/>
      <c r="H32" s="942"/>
      <c r="I32" s="942"/>
      <c r="J32" s="941"/>
      <c r="K32" s="941"/>
      <c r="L32" s="941"/>
      <c r="M32" s="941">
        <v>400</v>
      </c>
      <c r="N32" s="941"/>
    </row>
    <row r="33" spans="1:14" ht="27.75" customHeight="1">
      <c r="A33" s="939">
        <v>21</v>
      </c>
      <c r="B33" s="940" t="s">
        <v>1043</v>
      </c>
      <c r="C33" s="941">
        <v>2200</v>
      </c>
      <c r="D33" s="941"/>
      <c r="E33" s="941"/>
      <c r="F33" s="942"/>
      <c r="G33" s="942"/>
      <c r="H33" s="942"/>
      <c r="I33" s="942"/>
      <c r="J33" s="941"/>
      <c r="K33" s="941"/>
      <c r="L33" s="941"/>
      <c r="M33" s="941">
        <v>2200</v>
      </c>
      <c r="N33" s="941"/>
    </row>
    <row r="34" spans="1:14" ht="36.75" customHeight="1">
      <c r="A34" s="939">
        <v>22</v>
      </c>
      <c r="B34" s="940" t="s">
        <v>1044</v>
      </c>
      <c r="C34" s="941">
        <v>700</v>
      </c>
      <c r="D34" s="941"/>
      <c r="E34" s="941"/>
      <c r="F34" s="942"/>
      <c r="G34" s="942"/>
      <c r="H34" s="942"/>
      <c r="I34" s="942"/>
      <c r="J34" s="941"/>
      <c r="K34" s="941"/>
      <c r="L34" s="941"/>
      <c r="M34" s="941">
        <v>700</v>
      </c>
      <c r="N34" s="941"/>
    </row>
    <row r="35" spans="1:14" ht="26.25" customHeight="1">
      <c r="A35" s="939">
        <v>23</v>
      </c>
      <c r="B35" s="940" t="s">
        <v>1045</v>
      </c>
      <c r="C35" s="941">
        <v>900</v>
      </c>
      <c r="D35" s="941"/>
      <c r="E35" s="941"/>
      <c r="F35" s="942"/>
      <c r="G35" s="942"/>
      <c r="H35" s="942"/>
      <c r="I35" s="942"/>
      <c r="J35" s="941"/>
      <c r="K35" s="941"/>
      <c r="L35" s="941"/>
      <c r="M35" s="941">
        <v>900</v>
      </c>
      <c r="N35" s="941"/>
    </row>
    <row r="36" spans="1:14" ht="30" customHeight="1">
      <c r="A36" s="939">
        <v>24</v>
      </c>
      <c r="B36" s="950" t="s">
        <v>1046</v>
      </c>
      <c r="C36" s="951">
        <v>1200</v>
      </c>
      <c r="D36" s="951"/>
      <c r="E36" s="951"/>
      <c r="F36" s="952"/>
      <c r="G36" s="952"/>
      <c r="H36" s="952"/>
      <c r="I36" s="952"/>
      <c r="J36" s="951"/>
      <c r="K36" s="951"/>
      <c r="L36" s="951"/>
      <c r="M36" s="951">
        <v>1200</v>
      </c>
      <c r="N36" s="951"/>
    </row>
    <row r="37" spans="1:14" ht="27" customHeight="1">
      <c r="A37" s="939">
        <v>25</v>
      </c>
      <c r="B37" s="940" t="s">
        <v>1047</v>
      </c>
      <c r="C37" s="941">
        <f>1500+1500</f>
        <v>3000</v>
      </c>
      <c r="D37" s="941"/>
      <c r="E37" s="941"/>
      <c r="F37" s="942"/>
      <c r="G37" s="942"/>
      <c r="H37" s="942"/>
      <c r="I37" s="942"/>
      <c r="J37" s="941"/>
      <c r="K37" s="941"/>
      <c r="L37" s="941"/>
      <c r="M37" s="941"/>
      <c r="N37" s="941">
        <v>1500</v>
      </c>
    </row>
    <row r="38" spans="1:14" ht="55.5" customHeight="1">
      <c r="A38" s="953">
        <v>26</v>
      </c>
      <c r="B38" s="954" t="s">
        <v>1048</v>
      </c>
      <c r="C38" s="955">
        <v>1000</v>
      </c>
      <c r="D38" s="955"/>
      <c r="E38" s="955"/>
      <c r="F38" s="956"/>
      <c r="G38" s="956"/>
      <c r="H38" s="956"/>
      <c r="I38" s="956"/>
      <c r="J38" s="955"/>
      <c r="K38" s="955"/>
      <c r="L38" s="955"/>
      <c r="M38" s="955"/>
      <c r="N38" s="955"/>
    </row>
  </sheetData>
  <mergeCells count="18">
    <mergeCell ref="I5:I6"/>
    <mergeCell ref="J5:J6"/>
    <mergeCell ref="K5:L5"/>
    <mergeCell ref="A1:C1"/>
    <mergeCell ref="L1:N1"/>
    <mergeCell ref="A2:N2"/>
    <mergeCell ref="L3:N3"/>
    <mergeCell ref="A4:A6"/>
    <mergeCell ref="B4:B6"/>
    <mergeCell ref="C4:C6"/>
    <mergeCell ref="D4:N4"/>
    <mergeCell ref="D5:D6"/>
    <mergeCell ref="E5:E6"/>
    <mergeCell ref="M5:M6"/>
    <mergeCell ref="N5:N6"/>
    <mergeCell ref="F5:F6"/>
    <mergeCell ref="G5:G6"/>
    <mergeCell ref="H5:H6"/>
  </mergeCells>
  <printOptions horizontalCentered="1"/>
  <pageMargins left="0" right="0"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129"/>
  <sheetViews>
    <sheetView topLeftCell="B1" workbookViewId="0">
      <selection activeCell="I19" sqref="I19"/>
    </sheetView>
  </sheetViews>
  <sheetFormatPr defaultColWidth="9.140625" defaultRowHeight="12"/>
  <cols>
    <col min="1" max="1" width="4.28515625" style="807" customWidth="1"/>
    <col min="2" max="2" width="27.5703125" style="807" customWidth="1"/>
    <col min="3" max="3" width="10.28515625" style="807" hidden="1" customWidth="1"/>
    <col min="4" max="14" width="9.140625" style="807"/>
    <col min="15" max="16" width="0" style="807" hidden="1" customWidth="1"/>
    <col min="17" max="17" width="9.140625" style="807"/>
    <col min="18" max="18" width="9.42578125" style="807" customWidth="1"/>
    <col min="19" max="19" width="9.140625" style="807"/>
    <col min="20" max="20" width="0" style="807" hidden="1" customWidth="1"/>
    <col min="21" max="21" width="9.140625" style="808"/>
    <col min="22" max="16384" width="9.140625" style="807"/>
  </cols>
  <sheetData>
    <row r="1" spans="1:21" ht="21.75" customHeight="1">
      <c r="A1" s="1044" t="s">
        <v>901</v>
      </c>
      <c r="B1" s="1044"/>
      <c r="C1" s="1044"/>
      <c r="D1" s="1044"/>
      <c r="Q1" s="1044" t="s">
        <v>997</v>
      </c>
      <c r="R1" s="1044"/>
      <c r="S1" s="1044"/>
      <c r="T1" s="1044"/>
    </row>
    <row r="2" spans="1:21" s="810" customFormat="1" ht="21.75" customHeight="1">
      <c r="A2" s="1047" t="s">
        <v>784</v>
      </c>
      <c r="B2" s="1047"/>
      <c r="C2" s="1047"/>
      <c r="D2" s="1047"/>
      <c r="E2" s="1047"/>
      <c r="F2" s="1047"/>
      <c r="G2" s="1047"/>
      <c r="H2" s="1047"/>
      <c r="I2" s="1047"/>
      <c r="J2" s="1047"/>
      <c r="K2" s="1047"/>
      <c r="L2" s="1047"/>
      <c r="M2" s="1047"/>
      <c r="N2" s="1047"/>
      <c r="O2" s="1047"/>
      <c r="P2" s="1047"/>
      <c r="Q2" s="1047"/>
      <c r="R2" s="1047"/>
      <c r="S2" s="1047"/>
      <c r="T2" s="1047"/>
      <c r="U2" s="809"/>
    </row>
    <row r="3" spans="1:21" s="810" customFormat="1" ht="24.75" customHeight="1">
      <c r="A3" s="1048" t="s">
        <v>1003</v>
      </c>
      <c r="B3" s="1048"/>
      <c r="C3" s="1048"/>
      <c r="D3" s="1048"/>
      <c r="E3" s="1048"/>
      <c r="F3" s="1048"/>
      <c r="G3" s="1048"/>
      <c r="H3" s="1048"/>
      <c r="I3" s="1048"/>
      <c r="J3" s="1048"/>
      <c r="K3" s="1048"/>
      <c r="L3" s="1048"/>
      <c r="M3" s="1048"/>
      <c r="N3" s="1048"/>
      <c r="O3" s="1048"/>
      <c r="P3" s="1048"/>
      <c r="Q3" s="1048"/>
      <c r="R3" s="1048"/>
      <c r="S3" s="1048"/>
      <c r="T3" s="1048"/>
      <c r="U3" s="809"/>
    </row>
    <row r="4" spans="1:21" ht="19.5" customHeight="1">
      <c r="Q4" s="1049" t="s">
        <v>903</v>
      </c>
      <c r="R4" s="1049"/>
      <c r="S4" s="1049"/>
      <c r="T4" s="858"/>
    </row>
    <row r="5" spans="1:21" ht="21" customHeight="1">
      <c r="A5" s="1045" t="s">
        <v>378</v>
      </c>
      <c r="B5" s="1045" t="s">
        <v>785</v>
      </c>
      <c r="C5" s="1045" t="s">
        <v>786</v>
      </c>
      <c r="D5" s="1045" t="s">
        <v>787</v>
      </c>
      <c r="E5" s="1045" t="s">
        <v>471</v>
      </c>
      <c r="F5" s="1045"/>
      <c r="G5" s="1045"/>
      <c r="H5" s="1045"/>
      <c r="I5" s="1045"/>
      <c r="J5" s="1045"/>
      <c r="K5" s="1045"/>
      <c r="L5" s="1045"/>
      <c r="M5" s="1045"/>
      <c r="N5" s="1045"/>
      <c r="O5" s="1045"/>
      <c r="P5" s="1045"/>
      <c r="Q5" s="1045"/>
      <c r="R5" s="1045"/>
      <c r="S5" s="1045"/>
      <c r="T5" s="850"/>
    </row>
    <row r="6" spans="1:21" ht="35.25" customHeight="1">
      <c r="A6" s="1045"/>
      <c r="B6" s="1045"/>
      <c r="C6" s="1045"/>
      <c r="D6" s="1045"/>
      <c r="E6" s="1045" t="s">
        <v>788</v>
      </c>
      <c r="F6" s="1045" t="s">
        <v>545</v>
      </c>
      <c r="G6" s="1045"/>
      <c r="H6" s="1045"/>
      <c r="I6" s="1046" t="s">
        <v>599</v>
      </c>
      <c r="J6" s="1045" t="s">
        <v>789</v>
      </c>
      <c r="K6" s="1045" t="s">
        <v>790</v>
      </c>
      <c r="L6" s="1045" t="s">
        <v>606</v>
      </c>
      <c r="M6" s="1045" t="s">
        <v>604</v>
      </c>
      <c r="N6" s="1045" t="s">
        <v>603</v>
      </c>
      <c r="O6" s="1045" t="s">
        <v>110</v>
      </c>
      <c r="P6" s="1045" t="s">
        <v>598</v>
      </c>
      <c r="Q6" s="1045" t="s">
        <v>791</v>
      </c>
      <c r="R6" s="1045" t="s">
        <v>792</v>
      </c>
      <c r="S6" s="1045" t="s">
        <v>793</v>
      </c>
      <c r="T6" s="1045" t="s">
        <v>794</v>
      </c>
    </row>
    <row r="7" spans="1:21" ht="126.75" customHeight="1">
      <c r="A7" s="1045"/>
      <c r="B7" s="1045"/>
      <c r="C7" s="1045"/>
      <c r="D7" s="1045"/>
      <c r="E7" s="1045"/>
      <c r="F7" s="861" t="s">
        <v>795</v>
      </c>
      <c r="G7" s="861" t="s">
        <v>717</v>
      </c>
      <c r="H7" s="861" t="s">
        <v>796</v>
      </c>
      <c r="I7" s="1046"/>
      <c r="J7" s="1045"/>
      <c r="K7" s="1045"/>
      <c r="L7" s="1045"/>
      <c r="M7" s="1045"/>
      <c r="N7" s="1045"/>
      <c r="O7" s="1045"/>
      <c r="P7" s="1045"/>
      <c r="Q7" s="1045"/>
      <c r="R7" s="1045"/>
      <c r="S7" s="1045"/>
      <c r="T7" s="1045"/>
    </row>
    <row r="8" spans="1:21" s="817" customFormat="1" ht="15.75" customHeight="1">
      <c r="A8" s="812"/>
      <c r="B8" s="813" t="s">
        <v>405</v>
      </c>
      <c r="C8" s="814" t="e">
        <f t="shared" ref="C8:T8" si="0">C9+C83</f>
        <v>#REF!</v>
      </c>
      <c r="D8" s="815">
        <f>D9+D83</f>
        <v>3628215.2491726973</v>
      </c>
      <c r="E8" s="815">
        <f>E9+E83</f>
        <v>610678.98940000008</v>
      </c>
      <c r="F8" s="815">
        <f>F9+F83</f>
        <v>765497.9639443903</v>
      </c>
      <c r="G8" s="815">
        <f>G9+G83</f>
        <v>217166.65599999999</v>
      </c>
      <c r="H8" s="815">
        <f>H9+H83</f>
        <v>982664.61994439026</v>
      </c>
      <c r="I8" s="815">
        <f t="shared" ref="I8:J8" si="1">I9+I83</f>
        <v>958949.29119999998</v>
      </c>
      <c r="J8" s="815">
        <f t="shared" si="1"/>
        <v>32650</v>
      </c>
      <c r="K8" s="815">
        <f t="shared" si="0"/>
        <v>168674.9936923077</v>
      </c>
      <c r="L8" s="815">
        <f t="shared" si="0"/>
        <v>137078.32800000001</v>
      </c>
      <c r="M8" s="815">
        <f t="shared" si="0"/>
        <v>467204.31493599998</v>
      </c>
      <c r="N8" s="815">
        <f t="shared" si="0"/>
        <v>54610.584000000003</v>
      </c>
      <c r="O8" s="815">
        <f t="shared" si="0"/>
        <v>53753</v>
      </c>
      <c r="P8" s="815">
        <f t="shared" si="0"/>
        <v>15349</v>
      </c>
      <c r="Q8" s="815">
        <f t="shared" si="0"/>
        <v>80000</v>
      </c>
      <c r="R8" s="815">
        <f t="shared" si="0"/>
        <v>16839.127999999997</v>
      </c>
      <c r="S8" s="815">
        <f t="shared" si="0"/>
        <v>49763</v>
      </c>
      <c r="T8" s="815">
        <f t="shared" si="0"/>
        <v>0</v>
      </c>
      <c r="U8" s="816"/>
    </row>
    <row r="9" spans="1:21" s="817" customFormat="1" ht="31.5" hidden="1">
      <c r="A9" s="818" t="s">
        <v>17</v>
      </c>
      <c r="B9" s="819" t="s">
        <v>797</v>
      </c>
      <c r="C9" s="820" t="e">
        <f>SUM(C11:C82)</f>
        <v>#REF!</v>
      </c>
      <c r="D9" s="821">
        <f>SUM(D11:D45)+SUM(D79:D82)</f>
        <v>2959493.1211726973</v>
      </c>
      <c r="E9" s="821">
        <f>SUM(E11:E45)+SUM(E79:E82)</f>
        <v>610678.98940000008</v>
      </c>
      <c r="F9" s="821">
        <f>SUM(F11:F45)+SUM(F79:F82)</f>
        <v>765497.9639443903</v>
      </c>
      <c r="G9" s="821">
        <f t="shared" ref="G9:T9" si="2">SUM(G11:G45)+SUM(G79:G82)</f>
        <v>208049.65599999999</v>
      </c>
      <c r="H9" s="821">
        <f>SUM(H11:H45)+SUM(H79:H82)</f>
        <v>973547.61994439026</v>
      </c>
      <c r="I9" s="821">
        <f>SUM(I11:I45)+SUM(I79:I82)</f>
        <v>507615.29119999998</v>
      </c>
      <c r="J9" s="821">
        <f t="shared" si="2"/>
        <v>32650</v>
      </c>
      <c r="K9" s="821">
        <f t="shared" si="2"/>
        <v>168354.9936923077</v>
      </c>
      <c r="L9" s="821">
        <f t="shared" si="2"/>
        <v>136578.32800000001</v>
      </c>
      <c r="M9" s="821">
        <f t="shared" si="2"/>
        <v>419173.31493599998</v>
      </c>
      <c r="N9" s="821">
        <f t="shared" si="2"/>
        <v>54210.584000000003</v>
      </c>
      <c r="O9" s="821">
        <f t="shared" si="2"/>
        <v>6257</v>
      </c>
      <c r="P9" s="821">
        <f t="shared" si="2"/>
        <v>1249</v>
      </c>
      <c r="Q9" s="821">
        <f t="shared" si="2"/>
        <v>0</v>
      </c>
      <c r="R9" s="821">
        <f t="shared" si="2"/>
        <v>0</v>
      </c>
      <c r="S9" s="821">
        <f t="shared" si="2"/>
        <v>49178</v>
      </c>
      <c r="T9" s="821">
        <f t="shared" si="2"/>
        <v>0</v>
      </c>
      <c r="U9" s="816"/>
    </row>
    <row r="10" spans="1:21" s="817" customFormat="1" ht="15.75">
      <c r="A10" s="818"/>
      <c r="B10" s="834" t="s">
        <v>161</v>
      </c>
      <c r="C10" s="820"/>
      <c r="D10" s="821"/>
      <c r="E10" s="821"/>
      <c r="F10" s="821"/>
      <c r="G10" s="821"/>
      <c r="H10" s="821"/>
      <c r="I10" s="821"/>
      <c r="J10" s="821"/>
      <c r="K10" s="821"/>
      <c r="L10" s="821"/>
      <c r="M10" s="821"/>
      <c r="N10" s="821"/>
      <c r="O10" s="821"/>
      <c r="P10" s="821"/>
      <c r="Q10" s="821"/>
      <c r="R10" s="821"/>
      <c r="S10" s="821"/>
      <c r="T10" s="821"/>
      <c r="U10" s="816"/>
    </row>
    <row r="11" spans="1:21" s="827" customFormat="1" ht="15.75">
      <c r="A11" s="822">
        <v>1</v>
      </c>
      <c r="B11" s="823" t="s">
        <v>798</v>
      </c>
      <c r="C11" s="824"/>
      <c r="D11" s="821">
        <f>SUM(E11:T11)-H11</f>
        <v>15404.851200000001</v>
      </c>
      <c r="E11" s="825">
        <v>15378.851200000001</v>
      </c>
      <c r="F11" s="825"/>
      <c r="G11" s="825"/>
      <c r="H11" s="825">
        <f>F11+G11</f>
        <v>0</v>
      </c>
      <c r="I11" s="825"/>
      <c r="J11" s="825"/>
      <c r="K11" s="825"/>
      <c r="L11" s="825"/>
      <c r="M11" s="825"/>
      <c r="N11" s="825"/>
      <c r="O11" s="825">
        <v>26</v>
      </c>
      <c r="P11" s="825"/>
      <c r="Q11" s="825"/>
      <c r="R11" s="825"/>
      <c r="S11" s="825"/>
      <c r="T11" s="825"/>
      <c r="U11" s="826"/>
    </row>
    <row r="12" spans="1:21" s="827" customFormat="1" ht="15.75">
      <c r="A12" s="822">
        <v>2</v>
      </c>
      <c r="B12" s="823" t="s">
        <v>799</v>
      </c>
      <c r="C12" s="828"/>
      <c r="D12" s="821">
        <f t="shared" ref="D12:D82" si="3">SUM(E12:T12)-H12</f>
        <v>26140.394199999999</v>
      </c>
      <c r="E12" s="825">
        <v>23050.194199999998</v>
      </c>
      <c r="F12" s="825"/>
      <c r="G12" s="825"/>
      <c r="H12" s="825">
        <f t="shared" ref="H12:H75" si="4">F12+G12</f>
        <v>0</v>
      </c>
      <c r="I12" s="825"/>
      <c r="J12" s="825"/>
      <c r="K12" s="825"/>
      <c r="L12" s="825"/>
      <c r="M12" s="825">
        <v>1064.2</v>
      </c>
      <c r="N12" s="825">
        <v>2000</v>
      </c>
      <c r="O12" s="825">
        <v>26</v>
      </c>
      <c r="P12" s="825"/>
      <c r="Q12" s="825"/>
      <c r="R12" s="825"/>
      <c r="S12" s="825"/>
      <c r="T12" s="825"/>
      <c r="U12" s="826"/>
    </row>
    <row r="13" spans="1:21" s="827" customFormat="1" ht="15.75">
      <c r="A13" s="822">
        <v>3</v>
      </c>
      <c r="B13" s="823" t="s">
        <v>800</v>
      </c>
      <c r="C13" s="828"/>
      <c r="D13" s="821">
        <f t="shared" si="3"/>
        <v>96913.002692307709</v>
      </c>
      <c r="E13" s="825">
        <v>77691.795000000013</v>
      </c>
      <c r="F13" s="825"/>
      <c r="G13" s="825"/>
      <c r="H13" s="825">
        <f t="shared" si="4"/>
        <v>0</v>
      </c>
      <c r="I13" s="825"/>
      <c r="J13" s="825"/>
      <c r="K13" s="825">
        <v>19195.207692307693</v>
      </c>
      <c r="L13" s="825"/>
      <c r="M13" s="825"/>
      <c r="N13" s="825"/>
      <c r="O13" s="825">
        <v>26</v>
      </c>
      <c r="P13" s="825"/>
      <c r="Q13" s="825"/>
      <c r="R13" s="825"/>
      <c r="S13" s="825"/>
      <c r="T13" s="825"/>
      <c r="U13" s="826"/>
    </row>
    <row r="14" spans="1:21" s="827" customFormat="1" ht="31.5">
      <c r="A14" s="822">
        <v>4</v>
      </c>
      <c r="B14" s="823" t="s">
        <v>801</v>
      </c>
      <c r="C14" s="828">
        <f>[2]HC!J29</f>
        <v>12589</v>
      </c>
      <c r="D14" s="821">
        <f t="shared" si="3"/>
        <v>187972.25880000001</v>
      </c>
      <c r="E14" s="825">
        <v>92620.574800000002</v>
      </c>
      <c r="F14" s="825"/>
      <c r="G14" s="825"/>
      <c r="H14" s="825">
        <f t="shared" si="4"/>
        <v>0</v>
      </c>
      <c r="I14" s="825"/>
      <c r="J14" s="825">
        <v>710</v>
      </c>
      <c r="K14" s="825"/>
      <c r="L14" s="825"/>
      <c r="M14" s="825">
        <v>67086.684000000008</v>
      </c>
      <c r="N14" s="825">
        <v>500</v>
      </c>
      <c r="O14" s="825">
        <v>55</v>
      </c>
      <c r="P14" s="825"/>
      <c r="Q14" s="825"/>
      <c r="R14" s="825"/>
      <c r="S14" s="825">
        <v>27000</v>
      </c>
      <c r="T14" s="825"/>
      <c r="U14" s="826"/>
    </row>
    <row r="15" spans="1:21" s="827" customFormat="1" ht="31.5">
      <c r="A15" s="822">
        <v>5</v>
      </c>
      <c r="B15" s="823" t="s">
        <v>802</v>
      </c>
      <c r="C15" s="828">
        <f>[2]HC!J42</f>
        <v>140</v>
      </c>
      <c r="D15" s="821">
        <f t="shared" si="3"/>
        <v>108131.96699999998</v>
      </c>
      <c r="E15" s="825">
        <v>11238.668</v>
      </c>
      <c r="F15" s="825">
        <v>143</v>
      </c>
      <c r="G15" s="825">
        <v>30942.686999999998</v>
      </c>
      <c r="H15" s="825">
        <f t="shared" si="4"/>
        <v>31085.686999999998</v>
      </c>
      <c r="I15" s="825"/>
      <c r="J15" s="825"/>
      <c r="K15" s="825"/>
      <c r="L15" s="825">
        <f>55951.612-500</f>
        <v>55451.612000000001</v>
      </c>
      <c r="M15" s="825"/>
      <c r="N15" s="825"/>
      <c r="O15" s="825">
        <v>39</v>
      </c>
      <c r="P15" s="825"/>
      <c r="Q15" s="825"/>
      <c r="R15" s="825"/>
      <c r="S15" s="825">
        <v>10317</v>
      </c>
      <c r="T15" s="825"/>
      <c r="U15" s="826"/>
    </row>
    <row r="16" spans="1:21" s="827" customFormat="1" ht="31.5">
      <c r="A16" s="822">
        <v>6</v>
      </c>
      <c r="B16" s="823" t="s">
        <v>803</v>
      </c>
      <c r="C16" s="828">
        <f>[2]HC!J77</f>
        <v>28</v>
      </c>
      <c r="D16" s="821">
        <f t="shared" si="3"/>
        <v>15292.0834</v>
      </c>
      <c r="E16" s="825">
        <v>9491.9697999999989</v>
      </c>
      <c r="F16" s="825"/>
      <c r="G16" s="825">
        <v>250</v>
      </c>
      <c r="H16" s="825">
        <f t="shared" si="4"/>
        <v>250</v>
      </c>
      <c r="I16" s="825"/>
      <c r="J16" s="825"/>
      <c r="K16" s="825"/>
      <c r="L16" s="825"/>
      <c r="M16" s="825">
        <v>4865.1135999999997</v>
      </c>
      <c r="N16" s="825">
        <v>685</v>
      </c>
      <c r="O16" s="825"/>
      <c r="P16" s="825"/>
      <c r="Q16" s="825"/>
      <c r="R16" s="825"/>
      <c r="S16" s="825"/>
      <c r="T16" s="825"/>
      <c r="U16" s="826"/>
    </row>
    <row r="17" spans="1:21" s="827" customFormat="1" ht="15.75">
      <c r="A17" s="822">
        <v>7</v>
      </c>
      <c r="B17" s="823" t="s">
        <v>804</v>
      </c>
      <c r="C17" s="828">
        <f>[2]HC!J68</f>
        <v>670</v>
      </c>
      <c r="D17" s="821">
        <f t="shared" si="3"/>
        <v>9196.0347359999996</v>
      </c>
      <c r="E17" s="825">
        <v>8459.6005999999998</v>
      </c>
      <c r="F17" s="825"/>
      <c r="G17" s="825"/>
      <c r="H17" s="825">
        <f t="shared" si="4"/>
        <v>0</v>
      </c>
      <c r="I17" s="825"/>
      <c r="J17" s="825"/>
      <c r="K17" s="825"/>
      <c r="L17" s="825"/>
      <c r="M17" s="825">
        <v>697.43413599999997</v>
      </c>
      <c r="N17" s="825"/>
      <c r="O17" s="825">
        <v>39</v>
      </c>
      <c r="P17" s="825"/>
      <c r="Q17" s="825"/>
      <c r="R17" s="825"/>
      <c r="S17" s="825"/>
      <c r="T17" s="825"/>
      <c r="U17" s="826"/>
    </row>
    <row r="18" spans="1:21" s="827" customFormat="1" ht="15.75">
      <c r="A18" s="822">
        <v>8</v>
      </c>
      <c r="B18" s="823" t="s">
        <v>805</v>
      </c>
      <c r="C18" s="828">
        <f>[2]HC!J50</f>
        <v>6617</v>
      </c>
      <c r="D18" s="821">
        <f t="shared" si="3"/>
        <v>64569.519</v>
      </c>
      <c r="E18" s="825">
        <v>9861.1810000000005</v>
      </c>
      <c r="F18" s="825"/>
      <c r="G18" s="825"/>
      <c r="H18" s="825">
        <f t="shared" si="4"/>
        <v>0</v>
      </c>
      <c r="I18" s="825"/>
      <c r="J18" s="825"/>
      <c r="K18" s="825"/>
      <c r="L18" s="825"/>
      <c r="M18" s="825">
        <v>30893.753999999997</v>
      </c>
      <c r="N18" s="825">
        <v>23775.583999999999</v>
      </c>
      <c r="O18" s="825">
        <v>39</v>
      </c>
      <c r="P18" s="825"/>
      <c r="Q18" s="825"/>
      <c r="R18" s="825"/>
      <c r="S18" s="825"/>
      <c r="T18" s="825"/>
      <c r="U18" s="826"/>
    </row>
    <row r="19" spans="1:21" s="827" customFormat="1" ht="15.75">
      <c r="A19" s="822">
        <v>9</v>
      </c>
      <c r="B19" s="823" t="s">
        <v>806</v>
      </c>
      <c r="C19" s="828">
        <f>[2]HC!J55+[2]YT!O6</f>
        <v>600</v>
      </c>
      <c r="D19" s="917">
        <f t="shared" si="3"/>
        <v>536938.04960000003</v>
      </c>
      <c r="E19" s="825">
        <v>11295.758400000001</v>
      </c>
      <c r="F19" s="825"/>
      <c r="G19" s="825"/>
      <c r="H19" s="825">
        <f t="shared" si="4"/>
        <v>0</v>
      </c>
      <c r="I19" s="918">
        <f>526615.2912-19000</f>
        <v>507615.29119999998</v>
      </c>
      <c r="J19" s="825"/>
      <c r="K19" s="825"/>
      <c r="L19" s="825"/>
      <c r="M19" s="825"/>
      <c r="N19" s="825">
        <v>9000</v>
      </c>
      <c r="O19" s="825">
        <v>39</v>
      </c>
      <c r="P19" s="825"/>
      <c r="Q19" s="825"/>
      <c r="R19" s="825"/>
      <c r="S19" s="825">
        <v>8988</v>
      </c>
      <c r="T19" s="825"/>
      <c r="U19" s="826"/>
    </row>
    <row r="20" spans="1:21" s="827" customFormat="1" ht="15.75">
      <c r="A20" s="822">
        <v>10</v>
      </c>
      <c r="B20" s="823" t="s">
        <v>807</v>
      </c>
      <c r="C20" s="828"/>
      <c r="D20" s="821">
        <f t="shared" si="3"/>
        <v>10473.125200000002</v>
      </c>
      <c r="E20" s="825">
        <v>6343.9372000000003</v>
      </c>
      <c r="F20" s="825"/>
      <c r="G20" s="825">
        <v>1348.3</v>
      </c>
      <c r="H20" s="825">
        <f t="shared" si="4"/>
        <v>1348.3</v>
      </c>
      <c r="I20" s="825"/>
      <c r="J20" s="825">
        <v>210</v>
      </c>
      <c r="K20" s="825"/>
      <c r="L20" s="825"/>
      <c r="M20" s="825">
        <v>2570.8879999999999</v>
      </c>
      <c r="N20" s="825"/>
      <c r="O20" s="825"/>
      <c r="P20" s="825"/>
      <c r="Q20" s="825"/>
      <c r="R20" s="825"/>
      <c r="S20" s="825"/>
      <c r="T20" s="825"/>
      <c r="U20" s="826"/>
    </row>
    <row r="21" spans="1:21" s="827" customFormat="1" ht="15.75">
      <c r="A21" s="822">
        <v>11</v>
      </c>
      <c r="B21" s="823" t="s">
        <v>808</v>
      </c>
      <c r="C21" s="828">
        <f>[2]HC!J62</f>
        <v>7000</v>
      </c>
      <c r="D21" s="821">
        <f t="shared" si="3"/>
        <v>21307.834199999998</v>
      </c>
      <c r="E21" s="825">
        <v>11733.9722</v>
      </c>
      <c r="F21" s="825"/>
      <c r="G21" s="825"/>
      <c r="H21" s="825">
        <f t="shared" si="4"/>
        <v>0</v>
      </c>
      <c r="I21" s="825"/>
      <c r="J21" s="825"/>
      <c r="K21" s="825"/>
      <c r="L21" s="825"/>
      <c r="M21" s="825">
        <v>9547.8619999999992</v>
      </c>
      <c r="N21" s="825"/>
      <c r="O21" s="825">
        <v>26</v>
      </c>
      <c r="P21" s="825"/>
      <c r="Q21" s="825"/>
      <c r="R21" s="825"/>
      <c r="S21" s="825"/>
      <c r="T21" s="825"/>
      <c r="U21" s="826"/>
    </row>
    <row r="22" spans="1:21" s="827" customFormat="1" ht="15.75">
      <c r="A22" s="822">
        <v>12</v>
      </c>
      <c r="B22" s="823" t="s">
        <v>809</v>
      </c>
      <c r="C22" s="828"/>
      <c r="D22" s="821">
        <f t="shared" si="3"/>
        <v>532969.94174439029</v>
      </c>
      <c r="E22" s="825">
        <v>7278.9777999999997</v>
      </c>
      <c r="F22" s="825">
        <v>525664.9639443903</v>
      </c>
      <c r="G22" s="825"/>
      <c r="H22" s="825">
        <f t="shared" si="4"/>
        <v>525664.9639443903</v>
      </c>
      <c r="I22" s="825"/>
      <c r="J22" s="825"/>
      <c r="K22" s="825"/>
      <c r="L22" s="825"/>
      <c r="M22" s="825"/>
      <c r="N22" s="825"/>
      <c r="O22" s="825">
        <v>26</v>
      </c>
      <c r="P22" s="825"/>
      <c r="Q22" s="825"/>
      <c r="R22" s="825"/>
      <c r="S22" s="825"/>
      <c r="T22" s="825"/>
      <c r="U22" s="826"/>
    </row>
    <row r="23" spans="1:21" s="827" customFormat="1" ht="16.5" customHeight="1">
      <c r="A23" s="822">
        <v>13</v>
      </c>
      <c r="B23" s="823" t="s">
        <v>810</v>
      </c>
      <c r="C23" s="828"/>
      <c r="D23" s="821">
        <f t="shared" si="3"/>
        <v>28190.858600000003</v>
      </c>
      <c r="E23" s="825">
        <v>24952.620600000002</v>
      </c>
      <c r="F23" s="825"/>
      <c r="G23" s="825">
        <v>2200</v>
      </c>
      <c r="H23" s="825">
        <f t="shared" si="4"/>
        <v>2200</v>
      </c>
      <c r="I23" s="825"/>
      <c r="J23" s="825"/>
      <c r="K23" s="825"/>
      <c r="L23" s="825"/>
      <c r="M23" s="825">
        <v>1012.2380000000001</v>
      </c>
      <c r="N23" s="825"/>
      <c r="O23" s="825">
        <v>26</v>
      </c>
      <c r="P23" s="825"/>
      <c r="Q23" s="825"/>
      <c r="R23" s="825"/>
      <c r="S23" s="825"/>
      <c r="T23" s="825"/>
      <c r="U23" s="826"/>
    </row>
    <row r="24" spans="1:21" s="827" customFormat="1" ht="16.5" customHeight="1">
      <c r="A24" s="822">
        <v>14</v>
      </c>
      <c r="B24" s="823" t="s">
        <v>811</v>
      </c>
      <c r="C24" s="828">
        <f>[2]HC!J65</f>
        <v>62</v>
      </c>
      <c r="D24" s="821">
        <f t="shared" si="3"/>
        <v>37210.638200000001</v>
      </c>
      <c r="E24" s="825">
        <v>6134.6382000000012</v>
      </c>
      <c r="F24" s="825"/>
      <c r="G24" s="825"/>
      <c r="H24" s="825">
        <f t="shared" si="4"/>
        <v>0</v>
      </c>
      <c r="I24" s="825"/>
      <c r="J24" s="825">
        <v>31050</v>
      </c>
      <c r="K24" s="825"/>
      <c r="L24" s="825"/>
      <c r="M24" s="825"/>
      <c r="N24" s="825"/>
      <c r="O24" s="825">
        <v>26</v>
      </c>
      <c r="P24" s="825"/>
      <c r="Q24" s="825"/>
      <c r="R24" s="825"/>
      <c r="S24" s="825"/>
      <c r="T24" s="825"/>
      <c r="U24" s="826"/>
    </row>
    <row r="25" spans="1:21" s="827" customFormat="1" ht="15.75">
      <c r="A25" s="822">
        <v>15</v>
      </c>
      <c r="B25" s="823" t="s">
        <v>812</v>
      </c>
      <c r="C25" s="828">
        <f>[2]HC!J46</f>
        <v>4925</v>
      </c>
      <c r="D25" s="821">
        <f t="shared" si="3"/>
        <v>42053.233200000002</v>
      </c>
      <c r="E25" s="825">
        <v>28290.131200000003</v>
      </c>
      <c r="F25" s="825"/>
      <c r="G25" s="825"/>
      <c r="H25" s="825">
        <f t="shared" si="4"/>
        <v>0</v>
      </c>
      <c r="I25" s="825"/>
      <c r="J25" s="825"/>
      <c r="K25" s="825">
        <v>100</v>
      </c>
      <c r="L25" s="825"/>
      <c r="M25" s="825">
        <v>13474.101999999999</v>
      </c>
      <c r="N25" s="825">
        <v>150</v>
      </c>
      <c r="O25" s="825">
        <v>39</v>
      </c>
      <c r="P25" s="825"/>
      <c r="Q25" s="825"/>
      <c r="R25" s="825"/>
      <c r="S25" s="825"/>
      <c r="T25" s="825"/>
      <c r="U25" s="826"/>
    </row>
    <row r="26" spans="1:21" s="827" customFormat="1" ht="15.75">
      <c r="A26" s="822">
        <v>16</v>
      </c>
      <c r="B26" s="823" t="s">
        <v>813</v>
      </c>
      <c r="C26" s="828"/>
      <c r="D26" s="821">
        <f t="shared" si="3"/>
        <v>15225.4084</v>
      </c>
      <c r="E26" s="825">
        <v>13899.4084</v>
      </c>
      <c r="F26" s="825"/>
      <c r="G26" s="825">
        <v>1000</v>
      </c>
      <c r="H26" s="825">
        <f t="shared" si="4"/>
        <v>1000</v>
      </c>
      <c r="I26" s="825"/>
      <c r="J26" s="825"/>
      <c r="K26" s="825">
        <v>300</v>
      </c>
      <c r="L26" s="825"/>
      <c r="M26" s="825"/>
      <c r="N26" s="825"/>
      <c r="O26" s="825">
        <v>26</v>
      </c>
      <c r="P26" s="825"/>
      <c r="Q26" s="825"/>
      <c r="R26" s="825"/>
      <c r="S26" s="825"/>
      <c r="T26" s="825"/>
      <c r="U26" s="826"/>
    </row>
    <row r="27" spans="1:21" s="827" customFormat="1" ht="31.5">
      <c r="A27" s="822">
        <v>17</v>
      </c>
      <c r="B27" s="823" t="s">
        <v>814</v>
      </c>
      <c r="C27" s="828">
        <f>[2]HC!J80</f>
        <v>450</v>
      </c>
      <c r="D27" s="821">
        <f>SUM(E27:T27)-H27</f>
        <v>106633.0572</v>
      </c>
      <c r="E27" s="825">
        <v>11478.0272</v>
      </c>
      <c r="F27" s="825"/>
      <c r="G27" s="825">
        <v>16453.351999999999</v>
      </c>
      <c r="H27" s="825">
        <f t="shared" si="4"/>
        <v>16453.351999999999</v>
      </c>
      <c r="I27" s="825"/>
      <c r="J27" s="825"/>
      <c r="K27" s="825">
        <v>68065.203999999998</v>
      </c>
      <c r="L27" s="825"/>
      <c r="M27" s="825">
        <v>5704.4740000000002</v>
      </c>
      <c r="N27" s="825">
        <v>3000</v>
      </c>
      <c r="O27" s="825">
        <v>39</v>
      </c>
      <c r="P27" s="825"/>
      <c r="Q27" s="825"/>
      <c r="R27" s="825"/>
      <c r="S27" s="825">
        <v>1893</v>
      </c>
      <c r="T27" s="825"/>
      <c r="U27" s="826"/>
    </row>
    <row r="28" spans="1:21" s="827" customFormat="1" ht="16.5" customHeight="1">
      <c r="A28" s="822">
        <v>18</v>
      </c>
      <c r="B28" s="823" t="s">
        <v>815</v>
      </c>
      <c r="C28" s="828">
        <f>[2]HC!J81</f>
        <v>460</v>
      </c>
      <c r="D28" s="821">
        <f t="shared" si="3"/>
        <v>11169.437399999999</v>
      </c>
      <c r="E28" s="825">
        <v>9926.0973999999987</v>
      </c>
      <c r="F28" s="825"/>
      <c r="G28" s="825"/>
      <c r="H28" s="825">
        <f t="shared" si="4"/>
        <v>0</v>
      </c>
      <c r="I28" s="825"/>
      <c r="J28" s="825"/>
      <c r="K28" s="825"/>
      <c r="L28" s="825"/>
      <c r="M28" s="825">
        <v>1217.3400000000001</v>
      </c>
      <c r="N28" s="825"/>
      <c r="O28" s="825">
        <v>26</v>
      </c>
      <c r="P28" s="825"/>
      <c r="Q28" s="825"/>
      <c r="R28" s="825"/>
      <c r="S28" s="825"/>
      <c r="T28" s="825"/>
      <c r="U28" s="826"/>
    </row>
    <row r="29" spans="1:21" s="827" customFormat="1" ht="16.5" customHeight="1">
      <c r="A29" s="822">
        <v>19</v>
      </c>
      <c r="B29" s="823" t="s">
        <v>816</v>
      </c>
      <c r="C29" s="828">
        <f>[2]HC!J79+[2]KT!I59</f>
        <v>1630</v>
      </c>
      <c r="D29" s="821">
        <f t="shared" si="3"/>
        <v>11188.466200000001</v>
      </c>
      <c r="E29" s="825">
        <v>5487.0110000000004</v>
      </c>
      <c r="F29" s="825">
        <v>220</v>
      </c>
      <c r="G29" s="825"/>
      <c r="H29" s="825">
        <f t="shared" si="4"/>
        <v>220</v>
      </c>
      <c r="I29" s="825"/>
      <c r="J29" s="825"/>
      <c r="K29" s="825"/>
      <c r="L29" s="825">
        <v>3826.7160000000003</v>
      </c>
      <c r="M29" s="825">
        <v>648.7392000000001</v>
      </c>
      <c r="N29" s="825"/>
      <c r="O29" s="825">
        <v>26</v>
      </c>
      <c r="P29" s="825"/>
      <c r="Q29" s="825"/>
      <c r="R29" s="825"/>
      <c r="S29" s="825">
        <v>980</v>
      </c>
      <c r="T29" s="825"/>
      <c r="U29" s="826"/>
    </row>
    <row r="30" spans="1:21" s="827" customFormat="1" ht="16.5" customHeight="1">
      <c r="A30" s="822">
        <v>20</v>
      </c>
      <c r="B30" s="823" t="s">
        <v>817</v>
      </c>
      <c r="C30" s="828">
        <f>[2]HC!J82</f>
        <v>3500</v>
      </c>
      <c r="D30" s="821">
        <f t="shared" si="3"/>
        <v>8388.5747999999985</v>
      </c>
      <c r="E30" s="825">
        <v>8362.5747999999985</v>
      </c>
      <c r="F30" s="825"/>
      <c r="G30" s="825"/>
      <c r="H30" s="825">
        <f t="shared" si="4"/>
        <v>0</v>
      </c>
      <c r="I30" s="825"/>
      <c r="J30" s="825"/>
      <c r="K30" s="825"/>
      <c r="L30" s="825"/>
      <c r="M30" s="825"/>
      <c r="N30" s="825"/>
      <c r="O30" s="825">
        <v>26</v>
      </c>
      <c r="P30" s="825"/>
      <c r="Q30" s="825"/>
      <c r="R30" s="825"/>
      <c r="S30" s="825"/>
      <c r="T30" s="825"/>
      <c r="U30" s="826"/>
    </row>
    <row r="31" spans="1:21" s="827" customFormat="1" ht="15.75">
      <c r="A31" s="822">
        <v>21</v>
      </c>
      <c r="B31" s="823" t="s">
        <v>818</v>
      </c>
      <c r="C31" s="828" t="e">
        <f>[2]HC!J83</f>
        <v>#REF!</v>
      </c>
      <c r="D31" s="821">
        <f t="shared" si="3"/>
        <v>9075.2828000000009</v>
      </c>
      <c r="E31" s="825">
        <v>8633.7968000000001</v>
      </c>
      <c r="F31" s="825"/>
      <c r="G31" s="825"/>
      <c r="H31" s="825">
        <f t="shared" si="4"/>
        <v>0</v>
      </c>
      <c r="I31" s="825"/>
      <c r="J31" s="825"/>
      <c r="K31" s="825">
        <v>130</v>
      </c>
      <c r="L31" s="825"/>
      <c r="M31" s="825">
        <v>285.48599999999999</v>
      </c>
      <c r="N31" s="825"/>
      <c r="O31" s="825">
        <v>26</v>
      </c>
      <c r="P31" s="825"/>
      <c r="Q31" s="825"/>
      <c r="R31" s="825"/>
      <c r="S31" s="825"/>
      <c r="T31" s="825"/>
      <c r="U31" s="826"/>
    </row>
    <row r="32" spans="1:21" s="827" customFormat="1" ht="15.75">
      <c r="A32" s="822">
        <v>22</v>
      </c>
      <c r="B32" s="823" t="s">
        <v>819</v>
      </c>
      <c r="C32" s="828"/>
      <c r="D32" s="821">
        <f t="shared" si="3"/>
        <v>6644.0798000000004</v>
      </c>
      <c r="E32" s="825">
        <v>5261.2718000000004</v>
      </c>
      <c r="F32" s="825"/>
      <c r="G32" s="825">
        <v>947.80799999999999</v>
      </c>
      <c r="H32" s="825">
        <f t="shared" si="4"/>
        <v>947.80799999999999</v>
      </c>
      <c r="I32" s="825"/>
      <c r="J32" s="825">
        <v>400</v>
      </c>
      <c r="K32" s="825"/>
      <c r="L32" s="825"/>
      <c r="M32" s="825">
        <v>35</v>
      </c>
      <c r="N32" s="825"/>
      <c r="O32" s="825"/>
      <c r="P32" s="825"/>
      <c r="Q32" s="825"/>
      <c r="R32" s="825"/>
      <c r="S32" s="825"/>
      <c r="T32" s="825"/>
      <c r="U32" s="826"/>
    </row>
    <row r="33" spans="1:21" s="827" customFormat="1" ht="31.5">
      <c r="A33" s="822">
        <v>23</v>
      </c>
      <c r="B33" s="823" t="s">
        <v>883</v>
      </c>
      <c r="C33" s="828"/>
      <c r="D33" s="821">
        <f t="shared" si="3"/>
        <v>10039.7922</v>
      </c>
      <c r="E33" s="825">
        <v>9859.7921999999999</v>
      </c>
      <c r="F33" s="825"/>
      <c r="G33" s="825"/>
      <c r="H33" s="825">
        <f t="shared" si="4"/>
        <v>0</v>
      </c>
      <c r="I33" s="825"/>
      <c r="J33" s="825">
        <v>180</v>
      </c>
      <c r="K33" s="825"/>
      <c r="L33" s="825"/>
      <c r="M33" s="825"/>
      <c r="N33" s="825"/>
      <c r="O33" s="825"/>
      <c r="P33" s="825"/>
      <c r="Q33" s="825"/>
      <c r="R33" s="825"/>
      <c r="S33" s="825"/>
      <c r="T33" s="825"/>
      <c r="U33" s="826"/>
    </row>
    <row r="34" spans="1:21" s="827" customFormat="1" ht="21.75" customHeight="1">
      <c r="A34" s="822">
        <v>24</v>
      </c>
      <c r="B34" s="823" t="s">
        <v>820</v>
      </c>
      <c r="C34" s="828">
        <f>[2]HC!J86</f>
        <v>45</v>
      </c>
      <c r="D34" s="821">
        <f t="shared" si="3"/>
        <v>22205.735000000001</v>
      </c>
      <c r="E34" s="825">
        <v>3962.8810000000003</v>
      </c>
      <c r="F34" s="825"/>
      <c r="G34" s="825"/>
      <c r="H34" s="825">
        <f t="shared" si="4"/>
        <v>0</v>
      </c>
      <c r="I34" s="825"/>
      <c r="J34" s="825"/>
      <c r="K34" s="825">
        <v>18116.853999999999</v>
      </c>
      <c r="L34" s="825"/>
      <c r="M34" s="825"/>
      <c r="N34" s="825">
        <v>100</v>
      </c>
      <c r="O34" s="825">
        <v>26</v>
      </c>
      <c r="P34" s="825"/>
      <c r="Q34" s="825"/>
      <c r="R34" s="825"/>
      <c r="S34" s="825"/>
      <c r="T34" s="825"/>
      <c r="U34" s="826"/>
    </row>
    <row r="35" spans="1:21" s="827" customFormat="1" ht="15.75">
      <c r="A35" s="822">
        <v>25</v>
      </c>
      <c r="B35" s="823" t="s">
        <v>821</v>
      </c>
      <c r="C35" s="828"/>
      <c r="D35" s="821">
        <f t="shared" si="3"/>
        <v>5048.7338000000009</v>
      </c>
      <c r="E35" s="825">
        <v>5048.7338000000009</v>
      </c>
      <c r="F35" s="825"/>
      <c r="G35" s="825"/>
      <c r="H35" s="825">
        <f t="shared" si="4"/>
        <v>0</v>
      </c>
      <c r="I35" s="825"/>
      <c r="J35" s="825"/>
      <c r="K35" s="825"/>
      <c r="L35" s="825"/>
      <c r="M35" s="825"/>
      <c r="N35" s="825"/>
      <c r="O35" s="825"/>
      <c r="P35" s="825"/>
      <c r="Q35" s="825"/>
      <c r="R35" s="825"/>
      <c r="S35" s="825"/>
      <c r="T35" s="825"/>
      <c r="U35" s="826"/>
    </row>
    <row r="36" spans="1:21" s="827" customFormat="1" ht="15.75">
      <c r="A36" s="822">
        <v>26</v>
      </c>
      <c r="B36" s="829" t="s">
        <v>822</v>
      </c>
      <c r="C36" s="830"/>
      <c r="D36" s="831">
        <f t="shared" si="3"/>
        <v>6708.0217999999986</v>
      </c>
      <c r="E36" s="825">
        <v>5688.0217999999986</v>
      </c>
      <c r="F36" s="825">
        <v>170</v>
      </c>
      <c r="G36" s="825"/>
      <c r="H36" s="825">
        <f t="shared" si="4"/>
        <v>170</v>
      </c>
      <c r="I36" s="825"/>
      <c r="J36" s="825">
        <v>100</v>
      </c>
      <c r="K36" s="825">
        <v>350</v>
      </c>
      <c r="L36" s="825"/>
      <c r="M36" s="825">
        <v>400</v>
      </c>
      <c r="N36" s="825"/>
      <c r="O36" s="825"/>
      <c r="P36" s="825"/>
      <c r="Q36" s="825"/>
      <c r="R36" s="825"/>
      <c r="S36" s="825"/>
      <c r="T36" s="832"/>
      <c r="U36" s="826"/>
    </row>
    <row r="37" spans="1:21" s="827" customFormat="1" ht="15.75">
      <c r="A37" s="822">
        <v>27</v>
      </c>
      <c r="B37" s="823" t="s">
        <v>880</v>
      </c>
      <c r="C37" s="828"/>
      <c r="D37" s="821">
        <f t="shared" si="3"/>
        <v>2458.6738</v>
      </c>
      <c r="E37" s="825">
        <v>2458.6738</v>
      </c>
      <c r="F37" s="825"/>
      <c r="G37" s="825"/>
      <c r="H37" s="825">
        <f t="shared" si="4"/>
        <v>0</v>
      </c>
      <c r="I37" s="825"/>
      <c r="J37" s="825"/>
      <c r="K37" s="825"/>
      <c r="L37" s="825"/>
      <c r="M37" s="825"/>
      <c r="N37" s="825"/>
      <c r="O37" s="825"/>
      <c r="P37" s="825"/>
      <c r="Q37" s="825"/>
      <c r="R37" s="825"/>
      <c r="S37" s="825"/>
      <c r="T37" s="825"/>
      <c r="U37" s="826"/>
    </row>
    <row r="38" spans="1:21" s="827" customFormat="1" ht="33.75" customHeight="1">
      <c r="A38" s="822">
        <v>28</v>
      </c>
      <c r="B38" s="823" t="s">
        <v>823</v>
      </c>
      <c r="C38" s="828"/>
      <c r="D38" s="821">
        <f t="shared" si="3"/>
        <v>1032.4304</v>
      </c>
      <c r="E38" s="825">
        <v>1032.4304</v>
      </c>
      <c r="F38" s="825"/>
      <c r="G38" s="825"/>
      <c r="H38" s="825">
        <f t="shared" si="4"/>
        <v>0</v>
      </c>
      <c r="I38" s="825"/>
      <c r="J38" s="825"/>
      <c r="K38" s="825"/>
      <c r="L38" s="825"/>
      <c r="M38" s="825"/>
      <c r="N38" s="825"/>
      <c r="O38" s="825"/>
      <c r="P38" s="825"/>
      <c r="Q38" s="825"/>
      <c r="R38" s="825"/>
      <c r="S38" s="825"/>
      <c r="T38" s="825"/>
      <c r="U38" s="826"/>
    </row>
    <row r="39" spans="1:21" s="827" customFormat="1" ht="16.5" customHeight="1">
      <c r="A39" s="822">
        <v>29</v>
      </c>
      <c r="B39" s="823" t="s">
        <v>824</v>
      </c>
      <c r="C39" s="828"/>
      <c r="D39" s="821">
        <f t="shared" si="3"/>
        <v>709.62799999999993</v>
      </c>
      <c r="E39" s="825">
        <v>709.62799999999993</v>
      </c>
      <c r="F39" s="825"/>
      <c r="G39" s="825"/>
      <c r="H39" s="825">
        <f t="shared" si="4"/>
        <v>0</v>
      </c>
      <c r="I39" s="825"/>
      <c r="J39" s="825"/>
      <c r="K39" s="825"/>
      <c r="L39" s="825"/>
      <c r="M39" s="825"/>
      <c r="N39" s="825"/>
      <c r="O39" s="825"/>
      <c r="P39" s="825"/>
      <c r="Q39" s="825"/>
      <c r="R39" s="825"/>
      <c r="S39" s="825"/>
      <c r="T39" s="825"/>
      <c r="U39" s="826"/>
    </row>
    <row r="40" spans="1:21" s="827" customFormat="1" ht="15.75">
      <c r="A40" s="822">
        <v>30</v>
      </c>
      <c r="B40" s="823" t="s">
        <v>825</v>
      </c>
      <c r="C40" s="828"/>
      <c r="D40" s="821">
        <f t="shared" si="3"/>
        <v>37850.163</v>
      </c>
      <c r="E40" s="825"/>
      <c r="F40" s="825"/>
      <c r="G40" s="825">
        <v>37811.163</v>
      </c>
      <c r="H40" s="825">
        <f t="shared" si="4"/>
        <v>37811.163</v>
      </c>
      <c r="I40" s="825"/>
      <c r="J40" s="825"/>
      <c r="K40" s="825"/>
      <c r="L40" s="825"/>
      <c r="M40" s="825"/>
      <c r="N40" s="825"/>
      <c r="O40" s="825">
        <v>39</v>
      </c>
      <c r="P40" s="825"/>
      <c r="Q40" s="825"/>
      <c r="R40" s="825"/>
      <c r="S40" s="825"/>
      <c r="T40" s="825"/>
      <c r="U40" s="826"/>
    </row>
    <row r="41" spans="1:21" s="827" customFormat="1" ht="16.5" customHeight="1">
      <c r="A41" s="822">
        <v>31</v>
      </c>
      <c r="B41" s="823" t="s">
        <v>826</v>
      </c>
      <c r="C41" s="828"/>
      <c r="D41" s="821">
        <f t="shared" si="3"/>
        <v>25318.873</v>
      </c>
      <c r="E41" s="825"/>
      <c r="F41" s="825"/>
      <c r="G41" s="825">
        <v>25318.873</v>
      </c>
      <c r="H41" s="825">
        <f t="shared" si="4"/>
        <v>25318.873</v>
      </c>
      <c r="I41" s="825"/>
      <c r="J41" s="825"/>
      <c r="K41" s="825"/>
      <c r="L41" s="825"/>
      <c r="M41" s="825"/>
      <c r="N41" s="825"/>
      <c r="O41" s="825"/>
      <c r="P41" s="825"/>
      <c r="Q41" s="825"/>
      <c r="R41" s="825"/>
      <c r="S41" s="825"/>
      <c r="T41" s="825"/>
      <c r="U41" s="826"/>
    </row>
    <row r="42" spans="1:21" s="827" customFormat="1" ht="31.5">
      <c r="A42" s="822">
        <v>32</v>
      </c>
      <c r="B42" s="823" t="s">
        <v>827</v>
      </c>
      <c r="C42" s="828"/>
      <c r="D42" s="821">
        <f t="shared" si="3"/>
        <v>19107.493000000002</v>
      </c>
      <c r="E42" s="825"/>
      <c r="F42" s="825"/>
      <c r="G42" s="825">
        <v>19068.493000000002</v>
      </c>
      <c r="H42" s="825">
        <f t="shared" si="4"/>
        <v>19068.493000000002</v>
      </c>
      <c r="I42" s="825"/>
      <c r="J42" s="825"/>
      <c r="K42" s="825"/>
      <c r="L42" s="825"/>
      <c r="M42" s="825"/>
      <c r="N42" s="825"/>
      <c r="O42" s="825">
        <v>39</v>
      </c>
      <c r="P42" s="825"/>
      <c r="Q42" s="825"/>
      <c r="R42" s="825"/>
      <c r="S42" s="825"/>
      <c r="T42" s="825"/>
      <c r="U42" s="826"/>
    </row>
    <row r="43" spans="1:21" s="827" customFormat="1" ht="15.75">
      <c r="A43" s="822">
        <v>33</v>
      </c>
      <c r="B43" s="823" t="s">
        <v>828</v>
      </c>
      <c r="C43" s="828"/>
      <c r="D43" s="821">
        <f t="shared" si="3"/>
        <v>10878.880000000001</v>
      </c>
      <c r="E43" s="825"/>
      <c r="F43" s="825"/>
      <c r="G43" s="825">
        <v>10878.880000000001</v>
      </c>
      <c r="H43" s="825">
        <f t="shared" si="4"/>
        <v>10878.880000000001</v>
      </c>
      <c r="I43" s="825"/>
      <c r="J43" s="825"/>
      <c r="K43" s="825"/>
      <c r="L43" s="825"/>
      <c r="M43" s="825"/>
      <c r="N43" s="825"/>
      <c r="O43" s="825"/>
      <c r="P43" s="825"/>
      <c r="Q43" s="825"/>
      <c r="R43" s="825"/>
      <c r="S43" s="825"/>
      <c r="T43" s="825"/>
      <c r="U43" s="826"/>
    </row>
    <row r="44" spans="1:21" s="827" customFormat="1" ht="15.75">
      <c r="A44" s="822">
        <v>34</v>
      </c>
      <c r="B44" s="823" t="s">
        <v>829</v>
      </c>
      <c r="C44" s="828"/>
      <c r="D44" s="821">
        <f>SUM(E44:T44)-H44</f>
        <v>11856.099999999999</v>
      </c>
      <c r="E44" s="825"/>
      <c r="F44" s="825"/>
      <c r="G44" s="825">
        <v>11830.099999999999</v>
      </c>
      <c r="H44" s="825">
        <f t="shared" si="4"/>
        <v>11830.099999999999</v>
      </c>
      <c r="I44" s="825"/>
      <c r="J44" s="825"/>
      <c r="K44" s="825"/>
      <c r="L44" s="825"/>
      <c r="M44" s="825"/>
      <c r="N44" s="825"/>
      <c r="O44" s="825">
        <v>26</v>
      </c>
      <c r="P44" s="825"/>
      <c r="Q44" s="825"/>
      <c r="R44" s="825"/>
      <c r="S44" s="825"/>
      <c r="T44" s="825"/>
      <c r="U44" s="826"/>
    </row>
    <row r="45" spans="1:21" s="827" customFormat="1" ht="47.25">
      <c r="A45" s="822">
        <v>35</v>
      </c>
      <c r="B45" s="823" t="s">
        <v>830</v>
      </c>
      <c r="C45" s="828"/>
      <c r="D45" s="821">
        <f>SUM(E45:T45)-H45</f>
        <v>837790</v>
      </c>
      <c r="E45" s="825">
        <f>E46+E51+E53+E56+E60+E66+E73+E74</f>
        <v>168971</v>
      </c>
      <c r="F45" s="825">
        <f>F46+F51+F53+F56+F60+F66+F73+F74</f>
        <v>239300</v>
      </c>
      <c r="G45" s="825">
        <f>G46+G51+G53+G56+G60+G66+G73+G74</f>
        <v>50000</v>
      </c>
      <c r="H45" s="825">
        <f>F45+G45</f>
        <v>289300</v>
      </c>
      <c r="I45" s="825">
        <f t="shared" ref="I45:T45" si="5">I46+I51+I53+I56+I60+I66+I73+I74</f>
        <v>0</v>
      </c>
      <c r="J45" s="825">
        <f t="shared" si="5"/>
        <v>0</v>
      </c>
      <c r="K45" s="825">
        <f t="shared" si="5"/>
        <v>44950</v>
      </c>
      <c r="L45" s="825">
        <f t="shared" si="5"/>
        <v>77300</v>
      </c>
      <c r="M45" s="825">
        <f t="shared" si="5"/>
        <v>235520</v>
      </c>
      <c r="N45" s="825">
        <f t="shared" si="5"/>
        <v>15000</v>
      </c>
      <c r="O45" s="825">
        <f t="shared" si="5"/>
        <v>5500</v>
      </c>
      <c r="P45" s="825">
        <f t="shared" si="5"/>
        <v>1249</v>
      </c>
      <c r="Q45" s="825">
        <f t="shared" si="5"/>
        <v>0</v>
      </c>
      <c r="R45" s="825">
        <f t="shared" si="5"/>
        <v>0</v>
      </c>
      <c r="S45" s="825">
        <f t="shared" si="5"/>
        <v>0</v>
      </c>
      <c r="T45" s="825">
        <f t="shared" si="5"/>
        <v>0</v>
      </c>
      <c r="U45" s="826"/>
    </row>
    <row r="46" spans="1:21" s="827" customFormat="1" ht="16.5" hidden="1" customHeight="1">
      <c r="A46" s="822" t="s">
        <v>433</v>
      </c>
      <c r="B46" s="823" t="s">
        <v>831</v>
      </c>
      <c r="C46" s="828"/>
      <c r="D46" s="821">
        <f t="shared" si="3"/>
        <v>289300</v>
      </c>
      <c r="E46" s="825"/>
      <c r="F46" s="825">
        <f>SUM(F47:F50)</f>
        <v>239300</v>
      </c>
      <c r="G46" s="825">
        <f>SUM(G47:G50)</f>
        <v>50000</v>
      </c>
      <c r="H46" s="825">
        <f t="shared" si="4"/>
        <v>289300</v>
      </c>
      <c r="I46" s="825"/>
      <c r="J46" s="825"/>
      <c r="K46" s="825"/>
      <c r="L46" s="825"/>
      <c r="M46" s="825"/>
      <c r="N46" s="825"/>
      <c r="O46" s="825"/>
      <c r="P46" s="825"/>
      <c r="Q46" s="825"/>
      <c r="R46" s="825"/>
      <c r="S46" s="825"/>
      <c r="T46" s="825"/>
      <c r="U46" s="826"/>
    </row>
    <row r="47" spans="1:21" s="839" customFormat="1" ht="78.75" hidden="1">
      <c r="A47" s="833"/>
      <c r="B47" s="834" t="s">
        <v>832</v>
      </c>
      <c r="C47" s="835"/>
      <c r="D47" s="836">
        <f t="shared" si="3"/>
        <v>200000</v>
      </c>
      <c r="E47" s="837"/>
      <c r="F47" s="837">
        <v>200000</v>
      </c>
      <c r="G47" s="837"/>
      <c r="H47" s="825">
        <f t="shared" si="4"/>
        <v>200000</v>
      </c>
      <c r="I47" s="837"/>
      <c r="J47" s="837"/>
      <c r="K47" s="837"/>
      <c r="L47" s="837"/>
      <c r="M47" s="837"/>
      <c r="N47" s="837"/>
      <c r="O47" s="837"/>
      <c r="P47" s="837"/>
      <c r="Q47" s="837"/>
      <c r="R47" s="837"/>
      <c r="S47" s="837"/>
      <c r="T47" s="837"/>
      <c r="U47" s="838"/>
    </row>
    <row r="48" spans="1:21" s="839" customFormat="1" ht="31.5" hidden="1">
      <c r="A48" s="833"/>
      <c r="B48" s="834" t="s">
        <v>833</v>
      </c>
      <c r="C48" s="835"/>
      <c r="D48" s="836">
        <f t="shared" si="3"/>
        <v>22300</v>
      </c>
      <c r="E48" s="837"/>
      <c r="F48" s="837">
        <v>22300</v>
      </c>
      <c r="G48" s="837"/>
      <c r="H48" s="825">
        <f t="shared" si="4"/>
        <v>22300</v>
      </c>
      <c r="I48" s="837"/>
      <c r="J48" s="837"/>
      <c r="K48" s="837"/>
      <c r="L48" s="837"/>
      <c r="M48" s="837"/>
      <c r="N48" s="837"/>
      <c r="O48" s="837"/>
      <c r="P48" s="837"/>
      <c r="Q48" s="837"/>
      <c r="R48" s="837"/>
      <c r="S48" s="837"/>
      <c r="T48" s="837"/>
      <c r="U48" s="838"/>
    </row>
    <row r="49" spans="1:21" s="839" customFormat="1" ht="31.5" hidden="1">
      <c r="A49" s="833"/>
      <c r="B49" s="834" t="s">
        <v>834</v>
      </c>
      <c r="C49" s="835"/>
      <c r="D49" s="836">
        <f t="shared" si="3"/>
        <v>17000</v>
      </c>
      <c r="E49" s="837"/>
      <c r="F49" s="837">
        <v>17000</v>
      </c>
      <c r="G49" s="837"/>
      <c r="H49" s="825">
        <f t="shared" si="4"/>
        <v>17000</v>
      </c>
      <c r="I49" s="837"/>
      <c r="J49" s="837"/>
      <c r="K49" s="837"/>
      <c r="L49" s="837"/>
      <c r="M49" s="837"/>
      <c r="N49" s="837"/>
      <c r="O49" s="837"/>
      <c r="P49" s="837"/>
      <c r="Q49" s="837"/>
      <c r="R49" s="837"/>
      <c r="S49" s="837"/>
      <c r="T49" s="837"/>
      <c r="U49" s="838"/>
    </row>
    <row r="50" spans="1:21" s="839" customFormat="1" ht="15.75" hidden="1">
      <c r="A50" s="833"/>
      <c r="B50" s="834" t="s">
        <v>835</v>
      </c>
      <c r="C50" s="835"/>
      <c r="D50" s="836">
        <f t="shared" si="3"/>
        <v>50000</v>
      </c>
      <c r="E50" s="837"/>
      <c r="F50" s="837"/>
      <c r="G50" s="837">
        <v>50000</v>
      </c>
      <c r="H50" s="825">
        <f t="shared" si="4"/>
        <v>50000</v>
      </c>
      <c r="I50" s="837"/>
      <c r="J50" s="837"/>
      <c r="K50" s="837"/>
      <c r="L50" s="837"/>
      <c r="M50" s="837"/>
      <c r="N50" s="837"/>
      <c r="O50" s="837"/>
      <c r="P50" s="837"/>
      <c r="Q50" s="837"/>
      <c r="R50" s="837"/>
      <c r="S50" s="837"/>
      <c r="T50" s="837"/>
      <c r="U50" s="838"/>
    </row>
    <row r="51" spans="1:21" s="827" customFormat="1" ht="15.75" hidden="1">
      <c r="A51" s="822" t="s">
        <v>433</v>
      </c>
      <c r="B51" s="823" t="s">
        <v>836</v>
      </c>
      <c r="C51" s="828"/>
      <c r="D51" s="821">
        <f t="shared" si="3"/>
        <v>0</v>
      </c>
      <c r="E51" s="825"/>
      <c r="F51" s="825"/>
      <c r="G51" s="825"/>
      <c r="H51" s="825">
        <f t="shared" si="4"/>
        <v>0</v>
      </c>
      <c r="I51" s="825"/>
      <c r="J51" s="825"/>
      <c r="K51" s="825"/>
      <c r="L51" s="825"/>
      <c r="M51" s="825"/>
      <c r="N51" s="825"/>
      <c r="O51" s="825"/>
      <c r="P51" s="825"/>
      <c r="Q51" s="825"/>
      <c r="R51" s="825"/>
      <c r="S51" s="825"/>
      <c r="T51" s="825"/>
      <c r="U51" s="826"/>
    </row>
    <row r="52" spans="1:21" s="827" customFormat="1" ht="31.5" hidden="1">
      <c r="A52" s="822"/>
      <c r="B52" s="834" t="s">
        <v>834</v>
      </c>
      <c r="C52" s="828"/>
      <c r="D52" s="821">
        <f t="shared" si="3"/>
        <v>13000</v>
      </c>
      <c r="E52" s="825"/>
      <c r="F52" s="825"/>
      <c r="G52" s="825"/>
      <c r="H52" s="825">
        <f t="shared" si="4"/>
        <v>0</v>
      </c>
      <c r="I52" s="825">
        <v>13000</v>
      </c>
      <c r="J52" s="825"/>
      <c r="K52" s="825"/>
      <c r="L52" s="825"/>
      <c r="M52" s="825"/>
      <c r="N52" s="825"/>
      <c r="O52" s="825"/>
      <c r="P52" s="825"/>
      <c r="Q52" s="825"/>
      <c r="R52" s="825"/>
      <c r="S52" s="825"/>
      <c r="T52" s="825"/>
      <c r="U52" s="826"/>
    </row>
    <row r="53" spans="1:21" s="827" customFormat="1" ht="15.75" hidden="1">
      <c r="A53" s="822" t="s">
        <v>433</v>
      </c>
      <c r="B53" s="823" t="s">
        <v>837</v>
      </c>
      <c r="C53" s="828"/>
      <c r="D53" s="821">
        <f t="shared" si="3"/>
        <v>6749</v>
      </c>
      <c r="E53" s="825">
        <f>E54+E55</f>
        <v>0</v>
      </c>
      <c r="F53" s="825">
        <f t="shared" ref="F53:T53" si="6">F54+F55</f>
        <v>0</v>
      </c>
      <c r="G53" s="825">
        <f t="shared" si="6"/>
        <v>0</v>
      </c>
      <c r="H53" s="825">
        <f t="shared" si="4"/>
        <v>0</v>
      </c>
      <c r="I53" s="825">
        <f t="shared" si="6"/>
        <v>0</v>
      </c>
      <c r="J53" s="825">
        <f t="shared" si="6"/>
        <v>0</v>
      </c>
      <c r="K53" s="825">
        <f t="shared" si="6"/>
        <v>0</v>
      </c>
      <c r="L53" s="825">
        <f t="shared" si="6"/>
        <v>0</v>
      </c>
      <c r="M53" s="825">
        <f t="shared" si="6"/>
        <v>0</v>
      </c>
      <c r="N53" s="825">
        <f t="shared" si="6"/>
        <v>0</v>
      </c>
      <c r="O53" s="825">
        <f t="shared" si="6"/>
        <v>5500</v>
      </c>
      <c r="P53" s="825">
        <f t="shared" si="6"/>
        <v>1249</v>
      </c>
      <c r="Q53" s="825">
        <f t="shared" si="6"/>
        <v>0</v>
      </c>
      <c r="R53" s="825">
        <f t="shared" si="6"/>
        <v>0</v>
      </c>
      <c r="S53" s="825">
        <f t="shared" si="6"/>
        <v>0</v>
      </c>
      <c r="T53" s="825">
        <f t="shared" si="6"/>
        <v>0</v>
      </c>
      <c r="U53" s="826"/>
    </row>
    <row r="54" spans="1:21" s="839" customFormat="1" ht="15.75" hidden="1">
      <c r="A54" s="833"/>
      <c r="B54" s="834" t="s">
        <v>838</v>
      </c>
      <c r="C54" s="835"/>
      <c r="D54" s="836">
        <f t="shared" si="3"/>
        <v>5500</v>
      </c>
      <c r="E54" s="837"/>
      <c r="F54" s="837"/>
      <c r="G54" s="837"/>
      <c r="H54" s="825">
        <f t="shared" si="4"/>
        <v>0</v>
      </c>
      <c r="I54" s="837"/>
      <c r="J54" s="837"/>
      <c r="K54" s="837"/>
      <c r="L54" s="837"/>
      <c r="M54" s="837"/>
      <c r="N54" s="837"/>
      <c r="O54" s="837">
        <f>2500+3000</f>
        <v>5500</v>
      </c>
      <c r="P54" s="837"/>
      <c r="Q54" s="837"/>
      <c r="R54" s="837"/>
      <c r="S54" s="837"/>
      <c r="T54" s="837"/>
      <c r="U54" s="838"/>
    </row>
    <row r="55" spans="1:21" s="839" customFormat="1" ht="47.25" hidden="1">
      <c r="A55" s="833"/>
      <c r="B55" s="834" t="s">
        <v>839</v>
      </c>
      <c r="C55" s="835"/>
      <c r="D55" s="836">
        <f t="shared" si="3"/>
        <v>1249</v>
      </c>
      <c r="E55" s="837"/>
      <c r="F55" s="837"/>
      <c r="G55" s="837"/>
      <c r="H55" s="825">
        <f t="shared" si="4"/>
        <v>0</v>
      </c>
      <c r="I55" s="837"/>
      <c r="J55" s="837"/>
      <c r="K55" s="837"/>
      <c r="L55" s="837"/>
      <c r="M55" s="837"/>
      <c r="N55" s="837"/>
      <c r="O55" s="837"/>
      <c r="P55" s="837">
        <v>1249</v>
      </c>
      <c r="Q55" s="837"/>
      <c r="R55" s="837"/>
      <c r="S55" s="837"/>
      <c r="T55" s="837"/>
      <c r="U55" s="838"/>
    </row>
    <row r="56" spans="1:21" s="827" customFormat="1" ht="31.5" hidden="1">
      <c r="A56" s="822" t="s">
        <v>433</v>
      </c>
      <c r="B56" s="823" t="s">
        <v>840</v>
      </c>
      <c r="C56" s="828"/>
      <c r="D56" s="821">
        <f>SUM(E56:T56)-H56</f>
        <v>44950</v>
      </c>
      <c r="E56" s="825"/>
      <c r="F56" s="825"/>
      <c r="G56" s="825"/>
      <c r="H56" s="825">
        <f t="shared" si="4"/>
        <v>0</v>
      </c>
      <c r="I56" s="825"/>
      <c r="J56" s="825"/>
      <c r="K56" s="825">
        <f>SUM(K57:K59)</f>
        <v>44950</v>
      </c>
      <c r="L56" s="825"/>
      <c r="M56" s="825"/>
      <c r="N56" s="825"/>
      <c r="O56" s="825"/>
      <c r="P56" s="825"/>
      <c r="Q56" s="825"/>
      <c r="R56" s="825"/>
      <c r="S56" s="825"/>
      <c r="T56" s="825"/>
      <c r="U56" s="826"/>
    </row>
    <row r="57" spans="1:21" s="839" customFormat="1" ht="31.5" hidden="1">
      <c r="A57" s="833"/>
      <c r="B57" s="834" t="s">
        <v>841</v>
      </c>
      <c r="C57" s="835"/>
      <c r="D57" s="836">
        <f t="shared" si="3"/>
        <v>15000</v>
      </c>
      <c r="E57" s="837"/>
      <c r="F57" s="837"/>
      <c r="G57" s="837"/>
      <c r="H57" s="825">
        <f t="shared" si="4"/>
        <v>0</v>
      </c>
      <c r="I57" s="837"/>
      <c r="J57" s="837"/>
      <c r="K57" s="837">
        <v>15000</v>
      </c>
      <c r="L57" s="837"/>
      <c r="M57" s="837"/>
      <c r="N57" s="837"/>
      <c r="O57" s="837"/>
      <c r="P57" s="837"/>
      <c r="Q57" s="837"/>
      <c r="R57" s="837"/>
      <c r="S57" s="837"/>
      <c r="T57" s="837"/>
      <c r="U57" s="838"/>
    </row>
    <row r="58" spans="1:21" s="839" customFormat="1" ht="31.5" hidden="1">
      <c r="A58" s="833"/>
      <c r="B58" s="834" t="s">
        <v>842</v>
      </c>
      <c r="C58" s="835"/>
      <c r="D58" s="836">
        <f t="shared" si="3"/>
        <v>24950</v>
      </c>
      <c r="E58" s="837"/>
      <c r="F58" s="837"/>
      <c r="G58" s="837"/>
      <c r="H58" s="825">
        <f t="shared" si="4"/>
        <v>0</v>
      </c>
      <c r="I58" s="837"/>
      <c r="J58" s="837"/>
      <c r="K58" s="837">
        <f>25000-50</f>
        <v>24950</v>
      </c>
      <c r="L58" s="837"/>
      <c r="M58" s="837"/>
      <c r="N58" s="837"/>
      <c r="O58" s="837"/>
      <c r="P58" s="837"/>
      <c r="Q58" s="837"/>
      <c r="R58" s="837"/>
      <c r="S58" s="837"/>
      <c r="T58" s="837"/>
      <c r="U58" s="838"/>
    </row>
    <row r="59" spans="1:21" s="839" customFormat="1" ht="47.25" hidden="1">
      <c r="A59" s="833" t="s">
        <v>433</v>
      </c>
      <c r="B59" s="834" t="s">
        <v>843</v>
      </c>
      <c r="C59" s="835"/>
      <c r="D59" s="836">
        <f t="shared" si="3"/>
        <v>5000</v>
      </c>
      <c r="E59" s="837"/>
      <c r="F59" s="837"/>
      <c r="G59" s="837"/>
      <c r="H59" s="825">
        <f t="shared" si="4"/>
        <v>0</v>
      </c>
      <c r="I59" s="837"/>
      <c r="J59" s="837"/>
      <c r="K59" s="837">
        <v>5000</v>
      </c>
      <c r="L59" s="837"/>
      <c r="M59" s="837"/>
      <c r="N59" s="837"/>
      <c r="O59" s="837"/>
      <c r="P59" s="837"/>
      <c r="Q59" s="837"/>
      <c r="R59" s="837"/>
      <c r="S59" s="837"/>
      <c r="T59" s="837"/>
      <c r="U59" s="838"/>
    </row>
    <row r="60" spans="1:21" s="827" customFormat="1" ht="15.75" hidden="1">
      <c r="A60" s="822" t="s">
        <v>433</v>
      </c>
      <c r="B60" s="823" t="s">
        <v>844</v>
      </c>
      <c r="C60" s="828"/>
      <c r="D60" s="821">
        <f>SUM(E60:T60)</f>
        <v>77300</v>
      </c>
      <c r="E60" s="821">
        <f>SUM(E61:E65)</f>
        <v>0</v>
      </c>
      <c r="F60" s="821">
        <f t="shared" ref="F60:T60" si="7">SUM(F61:F65)</f>
        <v>0</v>
      </c>
      <c r="G60" s="821">
        <f t="shared" si="7"/>
        <v>0</v>
      </c>
      <c r="H60" s="825">
        <f t="shared" si="4"/>
        <v>0</v>
      </c>
      <c r="I60" s="821">
        <f t="shared" si="7"/>
        <v>0</v>
      </c>
      <c r="J60" s="821">
        <f t="shared" si="7"/>
        <v>0</v>
      </c>
      <c r="K60" s="821">
        <f t="shared" si="7"/>
        <v>0</v>
      </c>
      <c r="L60" s="821">
        <f>SUM(L61:L65)</f>
        <v>77300</v>
      </c>
      <c r="M60" s="821">
        <f t="shared" si="7"/>
        <v>0</v>
      </c>
      <c r="N60" s="821">
        <f t="shared" si="7"/>
        <v>0</v>
      </c>
      <c r="O60" s="821">
        <f t="shared" si="7"/>
        <v>0</v>
      </c>
      <c r="P60" s="821">
        <f t="shared" si="7"/>
        <v>0</v>
      </c>
      <c r="Q60" s="821">
        <f t="shared" si="7"/>
        <v>0</v>
      </c>
      <c r="R60" s="821">
        <f t="shared" si="7"/>
        <v>0</v>
      </c>
      <c r="S60" s="821">
        <f t="shared" si="7"/>
        <v>0</v>
      </c>
      <c r="T60" s="821">
        <f t="shared" si="7"/>
        <v>0</v>
      </c>
      <c r="U60" s="826"/>
    </row>
    <row r="61" spans="1:21" s="839" customFormat="1" ht="31.5" hidden="1">
      <c r="A61" s="833"/>
      <c r="B61" s="834" t="s">
        <v>845</v>
      </c>
      <c r="C61" s="835"/>
      <c r="D61" s="836"/>
      <c r="E61" s="837"/>
      <c r="F61" s="837"/>
      <c r="G61" s="837"/>
      <c r="H61" s="825">
        <f t="shared" si="4"/>
        <v>0</v>
      </c>
      <c r="I61" s="837"/>
      <c r="J61" s="837"/>
      <c r="K61" s="837"/>
      <c r="L61" s="837">
        <v>2500</v>
      </c>
      <c r="M61" s="837"/>
      <c r="N61" s="837"/>
      <c r="O61" s="837"/>
      <c r="P61" s="837"/>
      <c r="Q61" s="837"/>
      <c r="R61" s="837"/>
      <c r="S61" s="837"/>
      <c r="T61" s="837"/>
      <c r="U61" s="838"/>
    </row>
    <row r="62" spans="1:21" s="839" customFormat="1" ht="31.5" hidden="1">
      <c r="A62" s="833"/>
      <c r="B62" s="834" t="s">
        <v>846</v>
      </c>
      <c r="C62" s="835"/>
      <c r="D62" s="836"/>
      <c r="E62" s="837"/>
      <c r="F62" s="837"/>
      <c r="G62" s="837"/>
      <c r="H62" s="825">
        <f t="shared" si="4"/>
        <v>0</v>
      </c>
      <c r="I62" s="837"/>
      <c r="J62" s="837"/>
      <c r="K62" s="837"/>
      <c r="L62" s="837">
        <v>18000</v>
      </c>
      <c r="M62" s="837"/>
      <c r="N62" s="837"/>
      <c r="O62" s="837"/>
      <c r="P62" s="837"/>
      <c r="Q62" s="837"/>
      <c r="R62" s="837"/>
      <c r="S62" s="837"/>
      <c r="T62" s="837"/>
      <c r="U62" s="838"/>
    </row>
    <row r="63" spans="1:21" s="839" customFormat="1" ht="31.5" hidden="1">
      <c r="A63" s="833"/>
      <c r="B63" s="834" t="s">
        <v>847</v>
      </c>
      <c r="C63" s="835"/>
      <c r="D63" s="836"/>
      <c r="E63" s="837"/>
      <c r="F63" s="837"/>
      <c r="G63" s="837"/>
      <c r="H63" s="825">
        <f t="shared" si="4"/>
        <v>0</v>
      </c>
      <c r="I63" s="837"/>
      <c r="J63" s="837"/>
      <c r="K63" s="837"/>
      <c r="L63" s="837">
        <v>5800</v>
      </c>
      <c r="M63" s="837"/>
      <c r="N63" s="837"/>
      <c r="O63" s="837"/>
      <c r="P63" s="837"/>
      <c r="Q63" s="837"/>
      <c r="R63" s="837"/>
      <c r="S63" s="837"/>
      <c r="T63" s="837"/>
      <c r="U63" s="838"/>
    </row>
    <row r="64" spans="1:21" s="839" customFormat="1" ht="47.25" hidden="1">
      <c r="A64" s="833"/>
      <c r="B64" s="834" t="s">
        <v>848</v>
      </c>
      <c r="C64" s="835"/>
      <c r="D64" s="836"/>
      <c r="E64" s="837"/>
      <c r="F64" s="837"/>
      <c r="G64" s="837"/>
      <c r="H64" s="825">
        <f t="shared" si="4"/>
        <v>0</v>
      </c>
      <c r="I64" s="837"/>
      <c r="J64" s="837"/>
      <c r="K64" s="837"/>
      <c r="L64" s="837">
        <f>16000+4000</f>
        <v>20000</v>
      </c>
      <c r="M64" s="837"/>
      <c r="N64" s="837"/>
      <c r="O64" s="837"/>
      <c r="P64" s="837"/>
      <c r="Q64" s="837"/>
      <c r="R64" s="837"/>
      <c r="S64" s="837"/>
      <c r="T64" s="837"/>
      <c r="U64" s="838"/>
    </row>
    <row r="65" spans="1:21" s="839" customFormat="1" ht="31.5" hidden="1">
      <c r="A65" s="833"/>
      <c r="B65" s="834" t="s">
        <v>891</v>
      </c>
      <c r="C65" s="835"/>
      <c r="D65" s="836"/>
      <c r="E65" s="837"/>
      <c r="F65" s="837"/>
      <c r="G65" s="837"/>
      <c r="H65" s="825">
        <f t="shared" si="4"/>
        <v>0</v>
      </c>
      <c r="I65" s="837"/>
      <c r="J65" s="837"/>
      <c r="K65" s="837"/>
      <c r="L65" s="837">
        <v>31000</v>
      </c>
      <c r="M65" s="837"/>
      <c r="N65" s="837"/>
      <c r="O65" s="837"/>
      <c r="P65" s="837"/>
      <c r="Q65" s="837"/>
      <c r="R65" s="837"/>
      <c r="S65" s="837"/>
      <c r="T65" s="837"/>
      <c r="U65" s="838"/>
    </row>
    <row r="66" spans="1:21" s="827" customFormat="1" ht="15.75" hidden="1">
      <c r="A66" s="822" t="s">
        <v>433</v>
      </c>
      <c r="B66" s="823" t="s">
        <v>20</v>
      </c>
      <c r="C66" s="828"/>
      <c r="D66" s="821">
        <f>SUM(E66:T66)</f>
        <v>235520</v>
      </c>
      <c r="E66" s="825">
        <f t="shared" ref="E66:T66" si="8">SUM(E67:E72)</f>
        <v>0</v>
      </c>
      <c r="F66" s="825">
        <f t="shared" si="8"/>
        <v>0</v>
      </c>
      <c r="G66" s="825">
        <f t="shared" si="8"/>
        <v>0</v>
      </c>
      <c r="H66" s="825">
        <f t="shared" si="4"/>
        <v>0</v>
      </c>
      <c r="I66" s="825">
        <f t="shared" si="8"/>
        <v>0</v>
      </c>
      <c r="J66" s="825">
        <f t="shared" si="8"/>
        <v>0</v>
      </c>
      <c r="K66" s="825">
        <f t="shared" si="8"/>
        <v>0</v>
      </c>
      <c r="L66" s="825">
        <f t="shared" si="8"/>
        <v>0</v>
      </c>
      <c r="M66" s="825">
        <f t="shared" si="8"/>
        <v>235520</v>
      </c>
      <c r="N66" s="825">
        <f t="shared" si="8"/>
        <v>0</v>
      </c>
      <c r="O66" s="825">
        <f t="shared" si="8"/>
        <v>0</v>
      </c>
      <c r="P66" s="825">
        <f t="shared" si="8"/>
        <v>0</v>
      </c>
      <c r="Q66" s="825">
        <f t="shared" si="8"/>
        <v>0</v>
      </c>
      <c r="R66" s="825">
        <f t="shared" si="8"/>
        <v>0</v>
      </c>
      <c r="S66" s="825">
        <f t="shared" si="8"/>
        <v>0</v>
      </c>
      <c r="T66" s="825">
        <f t="shared" si="8"/>
        <v>0</v>
      </c>
      <c r="U66" s="826"/>
    </row>
    <row r="67" spans="1:21" s="839" customFormat="1" ht="15.75" hidden="1">
      <c r="A67" s="833"/>
      <c r="B67" s="834" t="s">
        <v>849</v>
      </c>
      <c r="C67" s="835"/>
      <c r="D67" s="836"/>
      <c r="E67" s="837"/>
      <c r="F67" s="837"/>
      <c r="G67" s="837"/>
      <c r="H67" s="825">
        <f t="shared" si="4"/>
        <v>0</v>
      </c>
      <c r="I67" s="837"/>
      <c r="J67" s="837"/>
      <c r="K67" s="837"/>
      <c r="L67" s="837"/>
      <c r="M67" s="837">
        <v>50000</v>
      </c>
      <c r="N67" s="837"/>
      <c r="O67" s="837"/>
      <c r="P67" s="837"/>
      <c r="Q67" s="837"/>
      <c r="R67" s="837"/>
      <c r="S67" s="837"/>
      <c r="T67" s="837"/>
      <c r="U67" s="838"/>
    </row>
    <row r="68" spans="1:21" s="839" customFormat="1" ht="15.75" hidden="1">
      <c r="A68" s="833"/>
      <c r="B68" s="834" t="s">
        <v>850</v>
      </c>
      <c r="C68" s="835"/>
      <c r="D68" s="836"/>
      <c r="E68" s="837"/>
      <c r="F68" s="837"/>
      <c r="G68" s="837"/>
      <c r="H68" s="825">
        <f t="shared" si="4"/>
        <v>0</v>
      </c>
      <c r="I68" s="837"/>
      <c r="J68" s="837"/>
      <c r="K68" s="837"/>
      <c r="L68" s="837"/>
      <c r="M68" s="837">
        <v>30000</v>
      </c>
      <c r="N68" s="837"/>
      <c r="O68" s="837"/>
      <c r="P68" s="837"/>
      <c r="Q68" s="837"/>
      <c r="R68" s="837"/>
      <c r="S68" s="837"/>
      <c r="T68" s="837"/>
      <c r="U68" s="838"/>
    </row>
    <row r="69" spans="1:21" s="827" customFormat="1" ht="31.5" hidden="1">
      <c r="A69" s="822"/>
      <c r="B69" s="834" t="s">
        <v>846</v>
      </c>
      <c r="C69" s="828"/>
      <c r="D69" s="821">
        <f t="shared" si="3"/>
        <v>67000</v>
      </c>
      <c r="E69" s="825"/>
      <c r="F69" s="825"/>
      <c r="G69" s="825"/>
      <c r="H69" s="825">
        <f t="shared" si="4"/>
        <v>0</v>
      </c>
      <c r="I69" s="825"/>
      <c r="J69" s="825"/>
      <c r="K69" s="825"/>
      <c r="L69" s="825"/>
      <c r="M69" s="825">
        <v>67000</v>
      </c>
      <c r="N69" s="825"/>
      <c r="O69" s="825"/>
      <c r="P69" s="825"/>
      <c r="Q69" s="825"/>
      <c r="R69" s="825"/>
      <c r="S69" s="825"/>
      <c r="T69" s="825"/>
      <c r="U69" s="826"/>
    </row>
    <row r="70" spans="1:21" s="827" customFormat="1" ht="47.25" hidden="1">
      <c r="A70" s="822"/>
      <c r="B70" s="834" t="s">
        <v>851</v>
      </c>
      <c r="C70" s="828"/>
      <c r="D70" s="821"/>
      <c r="E70" s="825"/>
      <c r="F70" s="825"/>
      <c r="G70" s="825"/>
      <c r="H70" s="825">
        <f t="shared" si="4"/>
        <v>0</v>
      </c>
      <c r="I70" s="825"/>
      <c r="J70" s="825"/>
      <c r="K70" s="825"/>
      <c r="L70" s="825"/>
      <c r="M70" s="825">
        <v>63520</v>
      </c>
      <c r="N70" s="825"/>
      <c r="O70" s="825"/>
      <c r="P70" s="825"/>
      <c r="Q70" s="825"/>
      <c r="R70" s="825"/>
      <c r="S70" s="825"/>
      <c r="T70" s="825"/>
      <c r="U70" s="826"/>
    </row>
    <row r="71" spans="1:21" s="827" customFormat="1" ht="31.5" hidden="1">
      <c r="A71" s="822"/>
      <c r="B71" s="834" t="s">
        <v>852</v>
      </c>
      <c r="C71" s="828"/>
      <c r="D71" s="821"/>
      <c r="E71" s="825"/>
      <c r="F71" s="825"/>
      <c r="G71" s="825"/>
      <c r="H71" s="825">
        <f t="shared" si="4"/>
        <v>0</v>
      </c>
      <c r="I71" s="825"/>
      <c r="J71" s="825"/>
      <c r="K71" s="825"/>
      <c r="L71" s="825"/>
      <c r="M71" s="825">
        <v>15000</v>
      </c>
      <c r="N71" s="825"/>
      <c r="O71" s="825"/>
      <c r="P71" s="825"/>
      <c r="Q71" s="825"/>
      <c r="R71" s="825"/>
      <c r="S71" s="825"/>
      <c r="T71" s="825"/>
      <c r="U71" s="826"/>
    </row>
    <row r="72" spans="1:21" s="827" customFormat="1" ht="15.75" hidden="1">
      <c r="A72" s="822"/>
      <c r="B72" s="834" t="s">
        <v>853</v>
      </c>
      <c r="C72" s="828"/>
      <c r="D72" s="821"/>
      <c r="E72" s="825"/>
      <c r="F72" s="825"/>
      <c r="G72" s="825"/>
      <c r="H72" s="825">
        <f t="shared" si="4"/>
        <v>0</v>
      </c>
      <c r="I72" s="825"/>
      <c r="J72" s="825"/>
      <c r="K72" s="825"/>
      <c r="L72" s="825"/>
      <c r="M72" s="825">
        <v>10000</v>
      </c>
      <c r="N72" s="825"/>
      <c r="O72" s="825"/>
      <c r="P72" s="825"/>
      <c r="Q72" s="825"/>
      <c r="R72" s="825"/>
      <c r="S72" s="825"/>
      <c r="T72" s="825"/>
      <c r="U72" s="826"/>
    </row>
    <row r="73" spans="1:21" s="827" customFormat="1" ht="63" hidden="1">
      <c r="A73" s="822" t="s">
        <v>433</v>
      </c>
      <c r="B73" s="823" t="s">
        <v>854</v>
      </c>
      <c r="C73" s="828"/>
      <c r="D73" s="821"/>
      <c r="E73" s="825"/>
      <c r="F73" s="825"/>
      <c r="G73" s="825"/>
      <c r="H73" s="825">
        <f t="shared" si="4"/>
        <v>0</v>
      </c>
      <c r="I73" s="825"/>
      <c r="J73" s="825"/>
      <c r="K73" s="825"/>
      <c r="L73" s="825"/>
      <c r="M73" s="825"/>
      <c r="N73" s="825">
        <v>15000</v>
      </c>
      <c r="O73" s="825"/>
      <c r="P73" s="825"/>
      <c r="Q73" s="825"/>
      <c r="R73" s="825"/>
      <c r="S73" s="825"/>
      <c r="T73" s="825"/>
      <c r="U73" s="826"/>
    </row>
    <row r="74" spans="1:21" s="827" customFormat="1" ht="15.75" hidden="1">
      <c r="A74" s="822" t="s">
        <v>433</v>
      </c>
      <c r="B74" s="823" t="s">
        <v>855</v>
      </c>
      <c r="C74" s="828"/>
      <c r="D74" s="821">
        <f>SUM(E74:T74)</f>
        <v>168971</v>
      </c>
      <c r="E74" s="825">
        <f>SUM(E75:E78)</f>
        <v>168971</v>
      </c>
      <c r="F74" s="825">
        <f t="shared" ref="F74:T74" si="9">SUM(F75:F78)</f>
        <v>0</v>
      </c>
      <c r="G74" s="825">
        <f t="shared" si="9"/>
        <v>0</v>
      </c>
      <c r="H74" s="825">
        <f t="shared" si="4"/>
        <v>0</v>
      </c>
      <c r="I74" s="825">
        <f t="shared" si="9"/>
        <v>0</v>
      </c>
      <c r="J74" s="825">
        <f t="shared" si="9"/>
        <v>0</v>
      </c>
      <c r="K74" s="825">
        <f t="shared" si="9"/>
        <v>0</v>
      </c>
      <c r="L74" s="825">
        <f t="shared" si="9"/>
        <v>0</v>
      </c>
      <c r="M74" s="825">
        <f t="shared" si="9"/>
        <v>0</v>
      </c>
      <c r="N74" s="825">
        <f t="shared" si="9"/>
        <v>0</v>
      </c>
      <c r="O74" s="825">
        <f t="shared" si="9"/>
        <v>0</v>
      </c>
      <c r="P74" s="825">
        <f t="shared" si="9"/>
        <v>0</v>
      </c>
      <c r="Q74" s="825">
        <f t="shared" si="9"/>
        <v>0</v>
      </c>
      <c r="R74" s="825">
        <f t="shared" si="9"/>
        <v>0</v>
      </c>
      <c r="S74" s="825">
        <f t="shared" si="9"/>
        <v>0</v>
      </c>
      <c r="T74" s="825">
        <f t="shared" si="9"/>
        <v>0</v>
      </c>
      <c r="U74" s="826"/>
    </row>
    <row r="75" spans="1:21" s="839" customFormat="1" ht="15.75" hidden="1">
      <c r="A75" s="833"/>
      <c r="B75" s="834" t="s">
        <v>856</v>
      </c>
      <c r="C75" s="835"/>
      <c r="D75" s="836"/>
      <c r="E75" s="837">
        <v>25000</v>
      </c>
      <c r="F75" s="837"/>
      <c r="G75" s="837"/>
      <c r="H75" s="825">
        <f t="shared" si="4"/>
        <v>0</v>
      </c>
      <c r="I75" s="837"/>
      <c r="J75" s="837"/>
      <c r="K75" s="837"/>
      <c r="L75" s="837"/>
      <c r="M75" s="837"/>
      <c r="N75" s="837"/>
      <c r="O75" s="837"/>
      <c r="P75" s="837"/>
      <c r="Q75" s="837"/>
      <c r="R75" s="837"/>
      <c r="S75" s="837"/>
      <c r="T75" s="837"/>
      <c r="U75" s="838"/>
    </row>
    <row r="76" spans="1:21" s="839" customFormat="1" ht="31.5" hidden="1">
      <c r="A76" s="833"/>
      <c r="B76" s="834" t="s">
        <v>857</v>
      </c>
      <c r="C76" s="835"/>
      <c r="D76" s="836"/>
      <c r="E76" s="837">
        <v>35000</v>
      </c>
      <c r="F76" s="837"/>
      <c r="G76" s="837"/>
      <c r="H76" s="825">
        <f t="shared" ref="H76:H82" si="10">F76+G76</f>
        <v>0</v>
      </c>
      <c r="I76" s="837"/>
      <c r="J76" s="837"/>
      <c r="K76" s="837"/>
      <c r="L76" s="837"/>
      <c r="M76" s="837"/>
      <c r="N76" s="837"/>
      <c r="O76" s="837"/>
      <c r="P76" s="837"/>
      <c r="Q76" s="837"/>
      <c r="R76" s="837"/>
      <c r="S76" s="837"/>
      <c r="T76" s="837"/>
      <c r="U76" s="838"/>
    </row>
    <row r="77" spans="1:21" s="839" customFormat="1" ht="78.75" hidden="1">
      <c r="A77" s="833"/>
      <c r="B77" s="834" t="s">
        <v>832</v>
      </c>
      <c r="C77" s="835"/>
      <c r="D77" s="836"/>
      <c r="E77" s="837">
        <v>80000</v>
      </c>
      <c r="F77" s="837"/>
      <c r="G77" s="837"/>
      <c r="H77" s="825">
        <f t="shared" si="10"/>
        <v>0</v>
      </c>
      <c r="I77" s="837"/>
      <c r="J77" s="837"/>
      <c r="K77" s="837"/>
      <c r="L77" s="837"/>
      <c r="M77" s="837"/>
      <c r="N77" s="837"/>
      <c r="O77" s="837"/>
      <c r="P77" s="837"/>
      <c r="Q77" s="837"/>
      <c r="R77" s="837"/>
      <c r="S77" s="837"/>
      <c r="T77" s="837"/>
      <c r="U77" s="838"/>
    </row>
    <row r="78" spans="1:21" s="839" customFormat="1" ht="47.25" hidden="1">
      <c r="A78" s="833"/>
      <c r="B78" s="834" t="s">
        <v>858</v>
      </c>
      <c r="C78" s="835"/>
      <c r="D78" s="836"/>
      <c r="E78" s="837">
        <f>9657*3</f>
        <v>28971</v>
      </c>
      <c r="F78" s="837"/>
      <c r="G78" s="837"/>
      <c r="H78" s="825">
        <f t="shared" si="10"/>
        <v>0</v>
      </c>
      <c r="I78" s="837"/>
      <c r="J78" s="837"/>
      <c r="K78" s="837"/>
      <c r="L78" s="837"/>
      <c r="M78" s="837"/>
      <c r="N78" s="837"/>
      <c r="O78" s="837"/>
      <c r="P78" s="837"/>
      <c r="Q78" s="837"/>
      <c r="R78" s="837"/>
      <c r="S78" s="837"/>
      <c r="T78" s="837"/>
      <c r="U78" s="838"/>
    </row>
    <row r="79" spans="1:21" s="827" customFormat="1" ht="31.5">
      <c r="A79" s="822">
        <v>36</v>
      </c>
      <c r="B79" s="823" t="s">
        <v>859</v>
      </c>
      <c r="C79" s="828"/>
      <c r="D79" s="821">
        <f t="shared" si="3"/>
        <v>8566.7708000000002</v>
      </c>
      <c r="E79" s="825">
        <v>6076.7708000000002</v>
      </c>
      <c r="F79" s="825"/>
      <c r="G79" s="825"/>
      <c r="H79" s="825">
        <f t="shared" si="10"/>
        <v>0</v>
      </c>
      <c r="I79" s="825"/>
      <c r="J79" s="825"/>
      <c r="K79" s="825">
        <v>50</v>
      </c>
      <c r="L79" s="825"/>
      <c r="M79" s="825">
        <v>2440</v>
      </c>
      <c r="N79" s="825"/>
      <c r="O79" s="825"/>
      <c r="P79" s="825"/>
      <c r="Q79" s="825"/>
      <c r="R79" s="825"/>
      <c r="S79" s="825"/>
      <c r="T79" s="825"/>
      <c r="U79" s="826"/>
    </row>
    <row r="80" spans="1:21" s="827" customFormat="1" ht="31.5">
      <c r="A80" s="822">
        <v>37</v>
      </c>
      <c r="B80" s="840" t="s">
        <v>881</v>
      </c>
      <c r="C80" s="828"/>
      <c r="D80" s="821">
        <f t="shared" si="3"/>
        <v>17123.727999999999</v>
      </c>
      <c r="E80" s="825"/>
      <c r="F80" s="825"/>
      <c r="G80" s="825"/>
      <c r="H80" s="825">
        <f t="shared" si="10"/>
        <v>0</v>
      </c>
      <c r="I80" s="825"/>
      <c r="J80" s="825"/>
      <c r="K80" s="825">
        <v>17097.727999999999</v>
      </c>
      <c r="L80" s="825"/>
      <c r="M80" s="825"/>
      <c r="N80" s="825"/>
      <c r="O80" s="825">
        <v>26</v>
      </c>
      <c r="P80" s="825"/>
      <c r="Q80" s="825"/>
      <c r="R80" s="825"/>
      <c r="S80" s="825"/>
      <c r="T80" s="825"/>
      <c r="U80" s="826"/>
    </row>
    <row r="81" spans="1:21" s="827" customFormat="1" ht="15.75">
      <c r="A81" s="822">
        <v>38</v>
      </c>
      <c r="B81" s="841" t="s">
        <v>860</v>
      </c>
      <c r="C81" s="828"/>
      <c r="D81" s="821">
        <f t="shared" si="3"/>
        <v>40000</v>
      </c>
      <c r="E81" s="825"/>
      <c r="F81" s="825"/>
      <c r="G81" s="825"/>
      <c r="H81" s="825">
        <f t="shared" si="10"/>
        <v>0</v>
      </c>
      <c r="I81" s="825"/>
      <c r="J81" s="825"/>
      <c r="K81" s="825"/>
      <c r="L81" s="825"/>
      <c r="M81" s="825">
        <v>40000</v>
      </c>
      <c r="N81" s="825"/>
      <c r="O81" s="825"/>
      <c r="P81" s="825"/>
      <c r="Q81" s="825"/>
      <c r="R81" s="825"/>
      <c r="S81" s="825"/>
      <c r="T81" s="825"/>
      <c r="U81" s="826"/>
    </row>
    <row r="82" spans="1:21" s="827" customFormat="1" ht="31.5" customHeight="1">
      <c r="A82" s="822">
        <v>39</v>
      </c>
      <c r="B82" s="842" t="s">
        <v>861</v>
      </c>
      <c r="C82" s="828"/>
      <c r="D82" s="821">
        <f t="shared" si="3"/>
        <v>1710</v>
      </c>
      <c r="E82" s="825"/>
      <c r="F82" s="825"/>
      <c r="G82" s="825"/>
      <c r="H82" s="825">
        <f t="shared" si="10"/>
        <v>0</v>
      </c>
      <c r="I82" s="825"/>
      <c r="J82" s="825"/>
      <c r="K82" s="825"/>
      <c r="L82" s="825"/>
      <c r="M82" s="825">
        <v>1710</v>
      </c>
      <c r="N82" s="825"/>
      <c r="O82" s="825"/>
      <c r="P82" s="825"/>
      <c r="Q82" s="825"/>
      <c r="R82" s="825"/>
      <c r="S82" s="825"/>
      <c r="T82" s="825"/>
      <c r="U82" s="826"/>
    </row>
    <row r="83" spans="1:21" s="856" customFormat="1" ht="31.5" hidden="1">
      <c r="A83" s="833">
        <v>40</v>
      </c>
      <c r="B83" s="853" t="s">
        <v>862</v>
      </c>
      <c r="C83" s="854">
        <f>SUM(C84:C91)</f>
        <v>0</v>
      </c>
      <c r="D83" s="836">
        <f t="shared" ref="D83:T83" si="11">SUM(D84:D95)</f>
        <v>668722.12800000003</v>
      </c>
      <c r="E83" s="836">
        <f t="shared" si="11"/>
        <v>0</v>
      </c>
      <c r="F83" s="836">
        <f t="shared" si="11"/>
        <v>0</v>
      </c>
      <c r="G83" s="836">
        <f t="shared" si="11"/>
        <v>9117</v>
      </c>
      <c r="H83" s="836">
        <f t="shared" si="11"/>
        <v>9117</v>
      </c>
      <c r="I83" s="836">
        <f t="shared" si="11"/>
        <v>451334</v>
      </c>
      <c r="J83" s="836">
        <f t="shared" si="11"/>
        <v>0</v>
      </c>
      <c r="K83" s="836">
        <f t="shared" si="11"/>
        <v>320</v>
      </c>
      <c r="L83" s="836">
        <f t="shared" si="11"/>
        <v>500</v>
      </c>
      <c r="M83" s="836">
        <f t="shared" si="11"/>
        <v>48031</v>
      </c>
      <c r="N83" s="836">
        <f t="shared" si="11"/>
        <v>400</v>
      </c>
      <c r="O83" s="836">
        <f t="shared" si="11"/>
        <v>47496</v>
      </c>
      <c r="P83" s="836">
        <f t="shared" si="11"/>
        <v>14100</v>
      </c>
      <c r="Q83" s="836">
        <f t="shared" si="11"/>
        <v>80000</v>
      </c>
      <c r="R83" s="836">
        <f t="shared" si="11"/>
        <v>16839.127999999997</v>
      </c>
      <c r="S83" s="836">
        <f t="shared" si="11"/>
        <v>585</v>
      </c>
      <c r="T83" s="836">
        <f t="shared" si="11"/>
        <v>0</v>
      </c>
      <c r="U83" s="855"/>
    </row>
    <row r="84" spans="1:21" s="827" customFormat="1" ht="15.75" hidden="1">
      <c r="A84" s="822">
        <v>40</v>
      </c>
      <c r="B84" s="823" t="s">
        <v>863</v>
      </c>
      <c r="C84" s="828"/>
      <c r="D84" s="821">
        <f>SUM(E84:T84)-H84</f>
        <v>9950</v>
      </c>
      <c r="E84" s="825"/>
      <c r="F84" s="825"/>
      <c r="G84" s="825"/>
      <c r="H84" s="825"/>
      <c r="I84" s="825"/>
      <c r="J84" s="825"/>
      <c r="K84" s="825"/>
      <c r="L84" s="825"/>
      <c r="M84" s="825">
        <v>350</v>
      </c>
      <c r="N84" s="825"/>
      <c r="O84" s="825">
        <v>9600</v>
      </c>
      <c r="P84" s="825"/>
      <c r="Q84" s="825"/>
      <c r="R84" s="825"/>
      <c r="S84" s="825"/>
      <c r="T84" s="825"/>
      <c r="U84" s="826"/>
    </row>
    <row r="85" spans="1:21" s="827" customFormat="1" ht="15.75" hidden="1">
      <c r="A85" s="822">
        <v>41</v>
      </c>
      <c r="B85" s="823" t="s">
        <v>864</v>
      </c>
      <c r="C85" s="828"/>
      <c r="D85" s="821">
        <f>SUM(E85:T85)-H85</f>
        <v>45863</v>
      </c>
      <c r="E85" s="825"/>
      <c r="F85" s="825"/>
      <c r="G85" s="825">
        <v>7847</v>
      </c>
      <c r="H85" s="825">
        <f t="shared" ref="H85" si="12">F85+G85</f>
        <v>7847</v>
      </c>
      <c r="I85" s="825"/>
      <c r="J85" s="825"/>
      <c r="K85" s="825">
        <f>50+70</f>
        <v>120</v>
      </c>
      <c r="L85" s="825"/>
      <c r="M85" s="825"/>
      <c r="N85" s="825"/>
      <c r="O85" s="825">
        <v>37896</v>
      </c>
      <c r="P85" s="825"/>
      <c r="Q85" s="825"/>
      <c r="R85" s="825"/>
      <c r="S85" s="825"/>
      <c r="T85" s="825"/>
      <c r="U85" s="826"/>
    </row>
    <row r="86" spans="1:21" s="827" customFormat="1" ht="16.5" hidden="1" customHeight="1">
      <c r="A86" s="822">
        <v>42</v>
      </c>
      <c r="B86" s="823" t="s">
        <v>882</v>
      </c>
      <c r="C86" s="828"/>
      <c r="D86" s="821">
        <f t="shared" ref="D86:D94" si="13">SUM(E86:T86)-H86</f>
        <v>14650</v>
      </c>
      <c r="E86" s="825"/>
      <c r="F86" s="825"/>
      <c r="G86" s="825"/>
      <c r="H86" s="825"/>
      <c r="I86" s="825"/>
      <c r="J86" s="825"/>
      <c r="K86" s="825">
        <v>150</v>
      </c>
      <c r="L86" s="825"/>
      <c r="M86" s="825"/>
      <c r="N86" s="825">
        <v>400</v>
      </c>
      <c r="O86" s="825"/>
      <c r="P86" s="825">
        <v>14100</v>
      </c>
      <c r="Q86" s="825"/>
      <c r="R86" s="825"/>
      <c r="S86" s="825"/>
      <c r="T86" s="825"/>
      <c r="U86" s="826"/>
    </row>
    <row r="87" spans="1:21" s="827" customFormat="1" ht="16.5" customHeight="1">
      <c r="A87" s="822">
        <v>40</v>
      </c>
      <c r="B87" s="823" t="s">
        <v>865</v>
      </c>
      <c r="C87" s="828"/>
      <c r="D87" s="821">
        <f t="shared" si="13"/>
        <v>400</v>
      </c>
      <c r="E87" s="825"/>
      <c r="F87" s="825"/>
      <c r="G87" s="825"/>
      <c r="H87" s="825"/>
      <c r="I87" s="825"/>
      <c r="J87" s="825"/>
      <c r="K87" s="825"/>
      <c r="L87" s="825"/>
      <c r="M87" s="825">
        <v>400</v>
      </c>
      <c r="N87" s="825"/>
      <c r="O87" s="825"/>
      <c r="P87" s="825"/>
      <c r="Q87" s="825"/>
      <c r="R87" s="825"/>
      <c r="S87" s="825"/>
      <c r="T87" s="825"/>
      <c r="U87" s="826"/>
    </row>
    <row r="88" spans="1:21" s="827" customFormat="1" ht="15.75">
      <c r="A88" s="822">
        <v>41</v>
      </c>
      <c r="B88" s="823" t="s">
        <v>866</v>
      </c>
      <c r="C88" s="828"/>
      <c r="D88" s="821">
        <f t="shared" si="13"/>
        <v>432334</v>
      </c>
      <c r="E88" s="825"/>
      <c r="F88" s="825"/>
      <c r="G88" s="825"/>
      <c r="H88" s="825"/>
      <c r="I88" s="825">
        <v>432334</v>
      </c>
      <c r="J88" s="825"/>
      <c r="K88" s="825"/>
      <c r="L88" s="825"/>
      <c r="M88" s="825"/>
      <c r="N88" s="825"/>
      <c r="O88" s="825"/>
      <c r="P88" s="825"/>
      <c r="Q88" s="825"/>
      <c r="R88" s="825"/>
      <c r="S88" s="825"/>
      <c r="T88" s="825"/>
      <c r="U88" s="826"/>
    </row>
    <row r="89" spans="1:21" s="827" customFormat="1" ht="33.75" customHeight="1">
      <c r="A89" s="822">
        <v>42</v>
      </c>
      <c r="B89" s="843" t="s">
        <v>867</v>
      </c>
      <c r="C89" s="828"/>
      <c r="D89" s="821">
        <f t="shared" si="13"/>
        <v>46681</v>
      </c>
      <c r="E89" s="825"/>
      <c r="F89" s="825"/>
      <c r="G89" s="825"/>
      <c r="H89" s="825"/>
      <c r="I89" s="825"/>
      <c r="J89" s="825"/>
      <c r="K89" s="825"/>
      <c r="L89" s="825"/>
      <c r="M89" s="825">
        <v>46681</v>
      </c>
      <c r="N89" s="825"/>
      <c r="O89" s="825"/>
      <c r="P89" s="825"/>
      <c r="Q89" s="825"/>
      <c r="R89" s="825"/>
      <c r="S89" s="825"/>
      <c r="T89" s="825"/>
      <c r="U89" s="826"/>
    </row>
    <row r="90" spans="1:21" s="827" customFormat="1" ht="15.75">
      <c r="A90" s="822">
        <v>43</v>
      </c>
      <c r="B90" s="842" t="s">
        <v>887</v>
      </c>
      <c r="C90" s="828"/>
      <c r="D90" s="821">
        <f t="shared" si="13"/>
        <v>80000</v>
      </c>
      <c r="E90" s="825"/>
      <c r="F90" s="825"/>
      <c r="G90" s="825"/>
      <c r="H90" s="825"/>
      <c r="I90" s="825"/>
      <c r="J90" s="825"/>
      <c r="K90" s="825"/>
      <c r="L90" s="825"/>
      <c r="M90" s="825"/>
      <c r="N90" s="825"/>
      <c r="O90" s="825"/>
      <c r="P90" s="825"/>
      <c r="Q90" s="825">
        <v>80000</v>
      </c>
      <c r="R90" s="825"/>
      <c r="S90" s="825"/>
      <c r="T90" s="825"/>
      <c r="U90" s="826"/>
    </row>
    <row r="91" spans="1:21" s="827" customFormat="1" ht="31.5" customHeight="1">
      <c r="A91" s="822">
        <v>44</v>
      </c>
      <c r="B91" s="843" t="s">
        <v>888</v>
      </c>
      <c r="C91" s="828"/>
      <c r="D91" s="821">
        <f t="shared" si="13"/>
        <v>19000</v>
      </c>
      <c r="E91" s="825"/>
      <c r="F91" s="825"/>
      <c r="G91" s="825"/>
      <c r="H91" s="825"/>
      <c r="I91" s="825">
        <v>19000</v>
      </c>
      <c r="J91" s="825"/>
      <c r="K91" s="825"/>
      <c r="L91" s="825"/>
      <c r="M91" s="825"/>
      <c r="N91" s="825"/>
      <c r="O91" s="825"/>
      <c r="P91" s="825"/>
      <c r="Q91" s="844"/>
      <c r="R91" s="844"/>
      <c r="S91" s="844"/>
      <c r="T91" s="825"/>
      <c r="U91" s="826"/>
    </row>
    <row r="92" spans="1:21" s="827" customFormat="1" ht="15.75">
      <c r="A92" s="822">
        <v>45</v>
      </c>
      <c r="B92" s="841" t="s">
        <v>889</v>
      </c>
      <c r="C92" s="828"/>
      <c r="D92" s="821">
        <f t="shared" si="13"/>
        <v>500</v>
      </c>
      <c r="E92" s="825"/>
      <c r="F92" s="825"/>
      <c r="G92" s="825"/>
      <c r="H92" s="825"/>
      <c r="I92" s="825"/>
      <c r="J92" s="825"/>
      <c r="K92" s="825"/>
      <c r="L92" s="825">
        <v>500</v>
      </c>
      <c r="M92" s="825"/>
      <c r="N92" s="825"/>
      <c r="O92" s="825"/>
      <c r="P92" s="825"/>
      <c r="Q92" s="825"/>
      <c r="R92" s="825"/>
      <c r="S92" s="825"/>
      <c r="T92" s="825"/>
      <c r="U92" s="826"/>
    </row>
    <row r="93" spans="1:21" s="827" customFormat="1" ht="15.75">
      <c r="A93" s="822">
        <v>46</v>
      </c>
      <c r="B93" s="841" t="s">
        <v>890</v>
      </c>
      <c r="C93" s="828"/>
      <c r="D93" s="821">
        <f t="shared" si="13"/>
        <v>250</v>
      </c>
      <c r="E93" s="825"/>
      <c r="F93" s="825"/>
      <c r="G93" s="825"/>
      <c r="H93" s="825"/>
      <c r="I93" s="825"/>
      <c r="J93" s="825"/>
      <c r="K93" s="825"/>
      <c r="L93" s="825"/>
      <c r="M93" s="825"/>
      <c r="N93" s="825"/>
      <c r="O93" s="825"/>
      <c r="P93" s="825"/>
      <c r="Q93" s="825"/>
      <c r="R93" s="825">
        <v>250</v>
      </c>
      <c r="S93" s="825"/>
      <c r="T93" s="825"/>
      <c r="U93" s="826"/>
    </row>
    <row r="94" spans="1:21" s="827" customFormat="1" ht="15.75" hidden="1">
      <c r="A94" s="822">
        <v>49</v>
      </c>
      <c r="B94" s="842"/>
      <c r="C94" s="828"/>
      <c r="D94" s="821">
        <f t="shared" si="13"/>
        <v>0</v>
      </c>
      <c r="E94" s="825"/>
      <c r="F94" s="825"/>
      <c r="G94" s="825"/>
      <c r="H94" s="825"/>
      <c r="I94" s="825"/>
      <c r="J94" s="825"/>
      <c r="K94" s="825"/>
      <c r="L94" s="825"/>
      <c r="M94" s="825"/>
      <c r="N94" s="825"/>
      <c r="O94" s="825"/>
      <c r="P94" s="825"/>
      <c r="Q94" s="825"/>
      <c r="R94" s="825"/>
      <c r="S94" s="825"/>
      <c r="T94" s="825"/>
      <c r="U94" s="826"/>
    </row>
    <row r="95" spans="1:21" s="827" customFormat="1" ht="31.5">
      <c r="A95" s="822">
        <v>47</v>
      </c>
      <c r="B95" s="823" t="s">
        <v>1006</v>
      </c>
      <c r="C95" s="828"/>
      <c r="D95" s="821">
        <f>SUM(E95:T95)-H95</f>
        <v>19094.127999999997</v>
      </c>
      <c r="E95" s="825"/>
      <c r="F95" s="825"/>
      <c r="G95" s="825">
        <f>'[2]TH Hoi'!D23</f>
        <v>1270</v>
      </c>
      <c r="H95" s="825">
        <f t="shared" ref="H95" si="14">F95+G95</f>
        <v>1270</v>
      </c>
      <c r="I95" s="825"/>
      <c r="J95" s="825"/>
      <c r="K95" s="857">
        <v>50</v>
      </c>
      <c r="L95" s="825"/>
      <c r="M95" s="825">
        <f>'[2]TH Hoi'!L6</f>
        <v>600</v>
      </c>
      <c r="N95" s="825"/>
      <c r="O95" s="825"/>
      <c r="P95" s="825"/>
      <c r="Q95" s="825"/>
      <c r="R95" s="825">
        <f>'[2]TH Hoi'!N6-250</f>
        <v>16589.127999999997</v>
      </c>
      <c r="S95" s="825">
        <f>'[2]TWBS mục tiêu'!H14+'[2]TWBS mục tiêu'!I14</f>
        <v>585</v>
      </c>
      <c r="T95" s="825"/>
      <c r="U95" s="826"/>
    </row>
    <row r="96" spans="1:21" ht="15.75">
      <c r="A96" s="845"/>
      <c r="B96" s="846"/>
      <c r="C96" s="845"/>
      <c r="D96" s="847"/>
      <c r="E96" s="847"/>
      <c r="F96" s="847"/>
      <c r="G96" s="847"/>
      <c r="H96" s="847"/>
      <c r="I96" s="847"/>
      <c r="J96" s="847"/>
      <c r="K96" s="847"/>
      <c r="L96" s="847"/>
      <c r="M96" s="847"/>
      <c r="N96" s="847"/>
      <c r="O96" s="847"/>
      <c r="P96" s="847"/>
      <c r="Q96" s="847"/>
      <c r="R96" s="847"/>
      <c r="S96" s="847"/>
      <c r="T96" s="847"/>
    </row>
    <row r="97" spans="2:13" ht="15">
      <c r="B97" s="848"/>
    </row>
    <row r="98" spans="2:13" ht="15">
      <c r="B98" s="848"/>
      <c r="M98" s="849"/>
    </row>
    <row r="99" spans="2:13" ht="15">
      <c r="B99" s="848"/>
    </row>
    <row r="100" spans="2:13" ht="15">
      <c r="B100" s="848"/>
    </row>
    <row r="115" ht="16.5" hidden="1" customHeight="1"/>
    <row r="116" ht="16.5" hidden="1" customHeight="1"/>
    <row r="117" ht="16.5" hidden="1" customHeight="1"/>
    <row r="127" ht="16.5" hidden="1" customHeight="1"/>
    <row r="129" ht="16.5" hidden="1" customHeight="1"/>
  </sheetData>
  <mergeCells count="24">
    <mergeCell ref="M6:M7"/>
    <mergeCell ref="N6:N7"/>
    <mergeCell ref="A5:A7"/>
    <mergeCell ref="F6:H6"/>
    <mergeCell ref="A2:T2"/>
    <mergeCell ref="A3:T3"/>
    <mergeCell ref="Q4:S4"/>
    <mergeCell ref="B5:B7"/>
    <mergeCell ref="A1:D1"/>
    <mergeCell ref="Q1:T1"/>
    <mergeCell ref="O6:O7"/>
    <mergeCell ref="P6:P7"/>
    <mergeCell ref="Q6:Q7"/>
    <mergeCell ref="R6:R7"/>
    <mergeCell ref="S6:S7"/>
    <mergeCell ref="T6:T7"/>
    <mergeCell ref="C5:C7"/>
    <mergeCell ref="D5:D7"/>
    <mergeCell ref="E5:S5"/>
    <mergeCell ref="E6:E7"/>
    <mergeCell ref="I6:I7"/>
    <mergeCell ref="J6:J7"/>
    <mergeCell ref="K6:K7"/>
    <mergeCell ref="L6:L7"/>
  </mergeCells>
  <printOptions horizontalCentered="1"/>
  <pageMargins left="0" right="0" top="0.5" bottom="0.25" header="0.3" footer="0.3"/>
  <pageSetup paperSize="9" scale="9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27"/>
  <sheetViews>
    <sheetView workbookViewId="0">
      <selection activeCell="A5" sqref="A5"/>
    </sheetView>
  </sheetViews>
  <sheetFormatPr defaultColWidth="9.140625" defaultRowHeight="15"/>
  <cols>
    <col min="1" max="1" width="6.140625" style="900" customWidth="1"/>
    <col min="2" max="2" width="17.28515625" style="900" customWidth="1"/>
    <col min="3" max="3" width="11.140625" style="900" customWidth="1"/>
    <col min="4" max="4" width="11.5703125" style="900" customWidth="1"/>
    <col min="5" max="6" width="11" style="900" customWidth="1"/>
    <col min="7" max="7" width="11.140625" style="900" customWidth="1"/>
    <col min="8" max="8" width="11" style="900" customWidth="1"/>
    <col min="9" max="16384" width="9.140625" style="900"/>
  </cols>
  <sheetData>
    <row r="1" spans="1:8" ht="25.5" customHeight="1">
      <c r="A1" s="1053" t="s">
        <v>901</v>
      </c>
      <c r="B1" s="1053"/>
      <c r="C1" s="1053"/>
      <c r="D1" s="899"/>
      <c r="E1" s="899"/>
      <c r="F1" s="1054" t="s">
        <v>978</v>
      </c>
      <c r="G1" s="1054"/>
      <c r="H1" s="1054"/>
    </row>
    <row r="2" spans="1:8" ht="24" customHeight="1">
      <c r="A2" s="1051" t="s">
        <v>979</v>
      </c>
      <c r="B2" s="1051"/>
      <c r="C2" s="1051"/>
      <c r="D2" s="1051"/>
      <c r="E2" s="1051"/>
      <c r="F2" s="1051"/>
      <c r="G2" s="1051"/>
      <c r="H2" s="1051"/>
    </row>
    <row r="3" spans="1:8" ht="23.25" customHeight="1">
      <c r="A3" s="1051" t="s">
        <v>980</v>
      </c>
      <c r="B3" s="1051"/>
      <c r="C3" s="1051"/>
      <c r="D3" s="1051"/>
      <c r="E3" s="1051"/>
      <c r="F3" s="1051"/>
      <c r="G3" s="1051"/>
      <c r="H3" s="1051"/>
    </row>
    <row r="4" spans="1:8" ht="15.75">
      <c r="A4" s="1052" t="s">
        <v>1004</v>
      </c>
      <c r="B4" s="1052"/>
      <c r="C4" s="1052"/>
      <c r="D4" s="1052"/>
      <c r="E4" s="1052"/>
      <c r="F4" s="1052"/>
      <c r="G4" s="1052"/>
      <c r="H4" s="1052"/>
    </row>
    <row r="5" spans="1:8" ht="15.75">
      <c r="F5" s="1050" t="s">
        <v>981</v>
      </c>
      <c r="G5" s="1050"/>
      <c r="H5" s="1050"/>
    </row>
    <row r="6" spans="1:8" s="901" customFormat="1" ht="24" customHeight="1">
      <c r="A6" s="1022" t="s">
        <v>969</v>
      </c>
      <c r="B6" s="1022" t="s">
        <v>970</v>
      </c>
      <c r="C6" s="1055" t="s">
        <v>982</v>
      </c>
      <c r="D6" s="1055"/>
      <c r="E6" s="1055"/>
      <c r="F6" s="1055"/>
      <c r="G6" s="1055"/>
      <c r="H6" s="1055"/>
    </row>
    <row r="7" spans="1:8" s="901" customFormat="1" ht="45" customHeight="1">
      <c r="A7" s="1022"/>
      <c r="B7" s="1022"/>
      <c r="C7" s="1056" t="s">
        <v>971</v>
      </c>
      <c r="D7" s="1056" t="s">
        <v>972</v>
      </c>
      <c r="E7" s="1056" t="s">
        <v>973</v>
      </c>
      <c r="F7" s="1056" t="s">
        <v>974</v>
      </c>
      <c r="G7" s="1056" t="s">
        <v>975</v>
      </c>
      <c r="H7" s="1056" t="s">
        <v>976</v>
      </c>
    </row>
    <row r="8" spans="1:8" s="901" customFormat="1" ht="43.5" customHeight="1">
      <c r="A8" s="1022"/>
      <c r="B8" s="1022"/>
      <c r="C8" s="1057"/>
      <c r="D8" s="1057"/>
      <c r="E8" s="1057"/>
      <c r="F8" s="1057"/>
      <c r="G8" s="1057"/>
      <c r="H8" s="1057"/>
    </row>
    <row r="9" spans="1:8" s="901" customFormat="1" ht="44.25" customHeight="1">
      <c r="A9" s="1022"/>
      <c r="B9" s="1022"/>
      <c r="C9" s="1058"/>
      <c r="D9" s="1058"/>
      <c r="E9" s="1058"/>
      <c r="F9" s="1058"/>
      <c r="G9" s="1058"/>
      <c r="H9" s="1058"/>
    </row>
    <row r="10" spans="1:8" s="902" customFormat="1" ht="15.75">
      <c r="A10" s="903">
        <v>1</v>
      </c>
      <c r="B10" s="904" t="s">
        <v>673</v>
      </c>
      <c r="C10" s="903">
        <v>48</v>
      </c>
      <c r="D10" s="903">
        <v>48</v>
      </c>
      <c r="E10" s="903">
        <v>48</v>
      </c>
      <c r="F10" s="903">
        <v>48</v>
      </c>
      <c r="G10" s="903">
        <v>48</v>
      </c>
      <c r="H10" s="903">
        <v>30</v>
      </c>
    </row>
    <row r="11" spans="1:8" ht="15.75">
      <c r="A11" s="431">
        <v>2</v>
      </c>
      <c r="B11" s="473" t="s">
        <v>674</v>
      </c>
      <c r="C11" s="431">
        <v>57</v>
      </c>
      <c r="D11" s="431">
        <v>57</v>
      </c>
      <c r="E11" s="431">
        <v>57</v>
      </c>
      <c r="F11" s="431">
        <v>57</v>
      </c>
      <c r="G11" s="431">
        <v>57</v>
      </c>
      <c r="H11" s="431">
        <v>30</v>
      </c>
    </row>
    <row r="12" spans="1:8" ht="15.75">
      <c r="A12" s="431">
        <v>3</v>
      </c>
      <c r="B12" s="473" t="s">
        <v>675</v>
      </c>
      <c r="C12" s="431">
        <v>52</v>
      </c>
      <c r="D12" s="431">
        <v>52</v>
      </c>
      <c r="E12" s="431">
        <v>52</v>
      </c>
      <c r="F12" s="431">
        <v>52</v>
      </c>
      <c r="G12" s="431">
        <v>52</v>
      </c>
      <c r="H12" s="431">
        <v>30</v>
      </c>
    </row>
    <row r="13" spans="1:8" ht="15.75">
      <c r="A13" s="431">
        <v>4</v>
      </c>
      <c r="B13" s="473" t="s">
        <v>677</v>
      </c>
      <c r="C13" s="431">
        <v>45</v>
      </c>
      <c r="D13" s="431">
        <v>45</v>
      </c>
      <c r="E13" s="431">
        <v>45</v>
      </c>
      <c r="F13" s="431">
        <v>45</v>
      </c>
      <c r="G13" s="431">
        <v>45</v>
      </c>
      <c r="H13" s="431">
        <v>30</v>
      </c>
    </row>
    <row r="14" spans="1:8" ht="15.75">
      <c r="A14" s="431">
        <v>5</v>
      </c>
      <c r="B14" s="473" t="s">
        <v>678</v>
      </c>
      <c r="C14" s="431">
        <v>45</v>
      </c>
      <c r="D14" s="431">
        <v>45</v>
      </c>
      <c r="E14" s="431">
        <v>45</v>
      </c>
      <c r="F14" s="431">
        <v>45</v>
      </c>
      <c r="G14" s="431">
        <v>45</v>
      </c>
      <c r="H14" s="431">
        <v>30</v>
      </c>
    </row>
    <row r="15" spans="1:8" ht="15.75">
      <c r="A15" s="431">
        <v>6</v>
      </c>
      <c r="B15" s="473" t="s">
        <v>681</v>
      </c>
      <c r="C15" s="431">
        <v>45</v>
      </c>
      <c r="D15" s="431">
        <v>45</v>
      </c>
      <c r="E15" s="431">
        <v>45</v>
      </c>
      <c r="F15" s="431">
        <v>45</v>
      </c>
      <c r="G15" s="431">
        <v>45</v>
      </c>
      <c r="H15" s="431">
        <v>30</v>
      </c>
    </row>
    <row r="16" spans="1:8" ht="15.75">
      <c r="A16" s="431">
        <v>7</v>
      </c>
      <c r="B16" s="473" t="s">
        <v>679</v>
      </c>
      <c r="C16" s="431">
        <v>45</v>
      </c>
      <c r="D16" s="431">
        <v>45</v>
      </c>
      <c r="E16" s="431">
        <v>45</v>
      </c>
      <c r="F16" s="431">
        <v>45</v>
      </c>
      <c r="G16" s="431">
        <v>45</v>
      </c>
      <c r="H16" s="431">
        <v>30</v>
      </c>
    </row>
    <row r="17" spans="1:8" ht="15.75">
      <c r="A17" s="431">
        <v>8</v>
      </c>
      <c r="B17" s="473" t="s">
        <v>676</v>
      </c>
      <c r="C17" s="431">
        <v>13</v>
      </c>
      <c r="D17" s="431">
        <v>13</v>
      </c>
      <c r="E17" s="905" t="s">
        <v>977</v>
      </c>
      <c r="F17" s="431">
        <v>13</v>
      </c>
      <c r="G17" s="431">
        <v>13</v>
      </c>
      <c r="H17" s="431">
        <v>30</v>
      </c>
    </row>
    <row r="18" spans="1:8" ht="15.75">
      <c r="A18" s="431">
        <v>9</v>
      </c>
      <c r="B18" s="473" t="s">
        <v>684</v>
      </c>
      <c r="C18" s="431">
        <v>45</v>
      </c>
      <c r="D18" s="431">
        <v>45</v>
      </c>
      <c r="E18" s="431">
        <v>45</v>
      </c>
      <c r="F18" s="431">
        <v>45</v>
      </c>
      <c r="G18" s="431">
        <v>45</v>
      </c>
      <c r="H18" s="431">
        <v>30</v>
      </c>
    </row>
    <row r="19" spans="1:8" ht="15.75">
      <c r="A19" s="431">
        <v>10</v>
      </c>
      <c r="B19" s="473" t="s">
        <v>683</v>
      </c>
      <c r="C19" s="431">
        <v>45</v>
      </c>
      <c r="D19" s="431">
        <v>45</v>
      </c>
      <c r="E19" s="431">
        <v>45</v>
      </c>
      <c r="F19" s="431">
        <v>45</v>
      </c>
      <c r="G19" s="431">
        <v>45</v>
      </c>
      <c r="H19" s="431">
        <v>30</v>
      </c>
    </row>
    <row r="20" spans="1:8" ht="15.75">
      <c r="A20" s="431">
        <v>11</v>
      </c>
      <c r="B20" s="473" t="s">
        <v>685</v>
      </c>
      <c r="C20" s="431">
        <v>45</v>
      </c>
      <c r="D20" s="431">
        <v>45</v>
      </c>
      <c r="E20" s="431">
        <v>45</v>
      </c>
      <c r="F20" s="431">
        <v>45</v>
      </c>
      <c r="G20" s="431">
        <v>45</v>
      </c>
      <c r="H20" s="431">
        <v>30</v>
      </c>
    </row>
    <row r="21" spans="1:8" ht="15.75">
      <c r="A21" s="431">
        <v>12</v>
      </c>
      <c r="B21" s="473" t="s">
        <v>689</v>
      </c>
      <c r="C21" s="431">
        <v>45</v>
      </c>
      <c r="D21" s="431">
        <v>45</v>
      </c>
      <c r="E21" s="431">
        <v>45</v>
      </c>
      <c r="F21" s="431">
        <v>45</v>
      </c>
      <c r="G21" s="431">
        <v>45</v>
      </c>
      <c r="H21" s="431">
        <v>30</v>
      </c>
    </row>
    <row r="22" spans="1:8" ht="15.75">
      <c r="A22" s="431">
        <v>13</v>
      </c>
      <c r="B22" s="473" t="s">
        <v>690</v>
      </c>
      <c r="C22" s="431">
        <v>45</v>
      </c>
      <c r="D22" s="431">
        <v>45</v>
      </c>
      <c r="E22" s="431">
        <v>45</v>
      </c>
      <c r="F22" s="431">
        <v>45</v>
      </c>
      <c r="G22" s="431">
        <v>45</v>
      </c>
      <c r="H22" s="431">
        <v>30</v>
      </c>
    </row>
    <row r="23" spans="1:8" ht="15.75">
      <c r="A23" s="431">
        <v>14</v>
      </c>
      <c r="B23" s="473" t="s">
        <v>687</v>
      </c>
      <c r="C23" s="431">
        <v>45</v>
      </c>
      <c r="D23" s="431">
        <v>45</v>
      </c>
      <c r="E23" s="431">
        <v>45</v>
      </c>
      <c r="F23" s="431">
        <v>45</v>
      </c>
      <c r="G23" s="431">
        <v>45</v>
      </c>
      <c r="H23" s="431">
        <v>30</v>
      </c>
    </row>
    <row r="24" spans="1:8" ht="15.75">
      <c r="A24" s="431">
        <v>15</v>
      </c>
      <c r="B24" s="473" t="s">
        <v>688</v>
      </c>
      <c r="C24" s="431">
        <v>45</v>
      </c>
      <c r="D24" s="431">
        <v>45</v>
      </c>
      <c r="E24" s="431">
        <v>45</v>
      </c>
      <c r="F24" s="431">
        <v>45</v>
      </c>
      <c r="G24" s="431">
        <v>45</v>
      </c>
      <c r="H24" s="431">
        <v>30</v>
      </c>
    </row>
    <row r="25" spans="1:8" ht="15.75">
      <c r="A25" s="431">
        <v>16</v>
      </c>
      <c r="B25" s="473" t="s">
        <v>686</v>
      </c>
      <c r="C25" s="431">
        <v>45</v>
      </c>
      <c r="D25" s="431">
        <v>45</v>
      </c>
      <c r="E25" s="431">
        <v>45</v>
      </c>
      <c r="F25" s="431">
        <v>45</v>
      </c>
      <c r="G25" s="431">
        <v>45</v>
      </c>
      <c r="H25" s="431">
        <v>30</v>
      </c>
    </row>
    <row r="26" spans="1:8" ht="15.75">
      <c r="A26" s="431">
        <v>17</v>
      </c>
      <c r="B26" s="473" t="s">
        <v>680</v>
      </c>
      <c r="C26" s="431">
        <v>45</v>
      </c>
      <c r="D26" s="431">
        <v>45</v>
      </c>
      <c r="E26" s="431">
        <v>45</v>
      </c>
      <c r="F26" s="431">
        <v>45</v>
      </c>
      <c r="G26" s="431">
        <v>45</v>
      </c>
      <c r="H26" s="431">
        <v>30</v>
      </c>
    </row>
    <row r="27" spans="1:8" ht="15.75">
      <c r="A27" s="906">
        <v>18</v>
      </c>
      <c r="B27" s="907" t="s">
        <v>682</v>
      </c>
      <c r="C27" s="906">
        <v>45</v>
      </c>
      <c r="D27" s="906">
        <v>45</v>
      </c>
      <c r="E27" s="906">
        <v>45</v>
      </c>
      <c r="F27" s="906">
        <v>45</v>
      </c>
      <c r="G27" s="906">
        <v>45</v>
      </c>
      <c r="H27" s="906">
        <v>30</v>
      </c>
    </row>
  </sheetData>
  <mergeCells count="15">
    <mergeCell ref="A6:A9"/>
    <mergeCell ref="B6:B9"/>
    <mergeCell ref="C6:H6"/>
    <mergeCell ref="C7:C9"/>
    <mergeCell ref="D7:D9"/>
    <mergeCell ref="E7:E9"/>
    <mergeCell ref="F7:F9"/>
    <mergeCell ref="G7:G9"/>
    <mergeCell ref="H7:H9"/>
    <mergeCell ref="F5:H5"/>
    <mergeCell ref="A2:H2"/>
    <mergeCell ref="A3:H3"/>
    <mergeCell ref="A4:H4"/>
    <mergeCell ref="A1:C1"/>
    <mergeCell ref="F1:H1"/>
  </mergeCells>
  <printOptions horizontalCentered="1"/>
  <pageMargins left="0.7" right="0.2"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26"/>
  <sheetViews>
    <sheetView workbookViewId="0">
      <selection activeCell="A4" sqref="A4"/>
    </sheetView>
  </sheetViews>
  <sheetFormatPr defaultRowHeight="12.75"/>
  <cols>
    <col min="1" max="1" width="5.42578125" customWidth="1"/>
    <col min="2" max="2" width="17.85546875" customWidth="1"/>
    <col min="3" max="3" width="12.140625" customWidth="1"/>
    <col min="4" max="4" width="12.5703125" customWidth="1"/>
    <col min="5" max="5" width="11.42578125" customWidth="1"/>
    <col min="6" max="6" width="11.28515625" customWidth="1"/>
    <col min="7" max="7" width="12.85546875" customWidth="1"/>
    <col min="8" max="8" width="12.28515625" customWidth="1"/>
    <col min="9" max="9" width="12.5703125" customWidth="1"/>
    <col min="10" max="10" width="12.85546875" customWidth="1"/>
    <col min="11" max="11" width="13" customWidth="1"/>
  </cols>
  <sheetData>
    <row r="1" spans="1:11" ht="18.75">
      <c r="A1" s="914" t="s">
        <v>901</v>
      </c>
      <c r="B1" s="914"/>
      <c r="C1" s="914"/>
      <c r="D1" s="908"/>
      <c r="E1" s="908"/>
      <c r="F1" s="908"/>
      <c r="G1" s="908"/>
      <c r="H1" s="908"/>
      <c r="I1" s="908"/>
      <c r="J1" s="1060" t="s">
        <v>995</v>
      </c>
      <c r="K1" s="1060"/>
    </row>
    <row r="2" spans="1:11" ht="18.75">
      <c r="A2" s="1061" t="s">
        <v>996</v>
      </c>
      <c r="B2" s="1061"/>
      <c r="C2" s="1061"/>
      <c r="D2" s="1061"/>
      <c r="E2" s="1061"/>
      <c r="F2" s="1061"/>
      <c r="G2" s="1061"/>
      <c r="H2" s="1061"/>
      <c r="I2" s="1061"/>
      <c r="J2" s="1061"/>
      <c r="K2" s="1061"/>
    </row>
    <row r="3" spans="1:11" ht="18.75">
      <c r="A3" s="1062" t="s">
        <v>1005</v>
      </c>
      <c r="B3" s="1062"/>
      <c r="C3" s="1062"/>
      <c r="D3" s="1062"/>
      <c r="E3" s="1062"/>
      <c r="F3" s="1062"/>
      <c r="G3" s="1062"/>
      <c r="H3" s="1062"/>
      <c r="I3" s="1062"/>
      <c r="J3" s="1062"/>
      <c r="K3" s="1062"/>
    </row>
    <row r="4" spans="1:11" ht="15.75">
      <c r="A4" s="908"/>
      <c r="B4" s="908"/>
      <c r="C4" s="908"/>
      <c r="D4" s="908"/>
      <c r="E4" s="908"/>
      <c r="F4" s="908"/>
      <c r="G4" s="908"/>
      <c r="H4" s="908"/>
      <c r="I4" s="908"/>
      <c r="J4" s="1017" t="s">
        <v>903</v>
      </c>
      <c r="K4" s="1017"/>
    </row>
    <row r="5" spans="1:11" ht="21" customHeight="1">
      <c r="A5" s="1063" t="s">
        <v>378</v>
      </c>
      <c r="B5" s="1063" t="s">
        <v>983</v>
      </c>
      <c r="C5" s="1063" t="s">
        <v>984</v>
      </c>
      <c r="D5" s="1063" t="s">
        <v>575</v>
      </c>
      <c r="E5" s="1063" t="s">
        <v>161</v>
      </c>
      <c r="F5" s="1063"/>
      <c r="G5" s="1064" t="s">
        <v>994</v>
      </c>
      <c r="H5" s="1064" t="s">
        <v>985</v>
      </c>
      <c r="I5" s="1063" t="s">
        <v>986</v>
      </c>
      <c r="J5" s="1022" t="s">
        <v>993</v>
      </c>
      <c r="K5" s="1063" t="s">
        <v>987</v>
      </c>
    </row>
    <row r="6" spans="1:11" ht="81.75" customHeight="1">
      <c r="A6" s="1063"/>
      <c r="B6" s="1063"/>
      <c r="C6" s="1063"/>
      <c r="D6" s="1063"/>
      <c r="E6" s="909" t="s">
        <v>576</v>
      </c>
      <c r="F6" s="909" t="s">
        <v>988</v>
      </c>
      <c r="G6" s="1065"/>
      <c r="H6" s="1065"/>
      <c r="I6" s="1063"/>
      <c r="J6" s="1022"/>
      <c r="K6" s="1063"/>
    </row>
    <row r="7" spans="1:11" ht="15.75">
      <c r="A7" s="864" t="s">
        <v>12</v>
      </c>
      <c r="B7" s="864" t="s">
        <v>13</v>
      </c>
      <c r="C7" s="864">
        <v>1</v>
      </c>
      <c r="D7" s="864" t="s">
        <v>989</v>
      </c>
      <c r="E7" s="864">
        <v>3</v>
      </c>
      <c r="F7" s="864">
        <v>4</v>
      </c>
      <c r="G7" s="864">
        <v>5</v>
      </c>
      <c r="H7" s="864" t="s">
        <v>990</v>
      </c>
      <c r="I7" s="864">
        <v>7</v>
      </c>
      <c r="J7" s="864">
        <v>8</v>
      </c>
      <c r="K7" s="864" t="s">
        <v>991</v>
      </c>
    </row>
    <row r="8" spans="1:11" ht="15.75">
      <c r="A8" s="1059" t="s">
        <v>992</v>
      </c>
      <c r="B8" s="1059"/>
      <c r="C8" s="910">
        <f>SUM(C9:C26)</f>
        <v>15476000</v>
      </c>
      <c r="D8" s="910">
        <f t="shared" ref="D8:K8" si="0">SUM(D9:D26)</f>
        <v>3683228</v>
      </c>
      <c r="E8" s="910">
        <f t="shared" si="0"/>
        <v>1479100</v>
      </c>
      <c r="F8" s="910">
        <f>SUM(F9:F26)</f>
        <v>2204128</v>
      </c>
      <c r="G8" s="910">
        <f>SUM(G9:G26)</f>
        <v>262998</v>
      </c>
      <c r="H8" s="910">
        <f>SUM(H9:H26)</f>
        <v>3420230</v>
      </c>
      <c r="I8" s="910">
        <f t="shared" si="0"/>
        <v>2775849</v>
      </c>
      <c r="J8" s="910">
        <f t="shared" si="0"/>
        <v>2374874</v>
      </c>
      <c r="K8" s="910">
        <f t="shared" si="0"/>
        <v>8570953</v>
      </c>
    </row>
    <row r="9" spans="1:11" ht="18" customHeight="1">
      <c r="A9" s="915">
        <v>1</v>
      </c>
      <c r="B9" s="911" t="s">
        <v>673</v>
      </c>
      <c r="C9" s="829">
        <v>1251321</v>
      </c>
      <c r="D9" s="829">
        <v>554404</v>
      </c>
      <c r="E9" s="829">
        <v>258549</v>
      </c>
      <c r="F9" s="829">
        <v>295855</v>
      </c>
      <c r="G9" s="829"/>
      <c r="H9" s="829">
        <v>554404</v>
      </c>
      <c r="I9" s="829">
        <v>0</v>
      </c>
      <c r="J9" s="829">
        <v>117578</v>
      </c>
      <c r="K9" s="829">
        <v>671982</v>
      </c>
    </row>
    <row r="10" spans="1:11" ht="18" customHeight="1">
      <c r="A10" s="473">
        <v>2</v>
      </c>
      <c r="B10" s="912" t="s">
        <v>674</v>
      </c>
      <c r="C10" s="823">
        <v>820522</v>
      </c>
      <c r="D10" s="829">
        <v>582621</v>
      </c>
      <c r="E10" s="823">
        <v>335367</v>
      </c>
      <c r="F10" s="823">
        <v>247254</v>
      </c>
      <c r="G10" s="823"/>
      <c r="H10" s="829">
        <v>582621</v>
      </c>
      <c r="I10" s="823">
        <v>0</v>
      </c>
      <c r="J10" s="823">
        <v>97793</v>
      </c>
      <c r="K10" s="829">
        <v>680414</v>
      </c>
    </row>
    <row r="11" spans="1:11" ht="18" customHeight="1">
      <c r="A11" s="473">
        <v>3</v>
      </c>
      <c r="B11" s="912" t="s">
        <v>675</v>
      </c>
      <c r="C11" s="823">
        <v>1679437</v>
      </c>
      <c r="D11" s="829">
        <v>889349</v>
      </c>
      <c r="E11" s="823">
        <v>140753</v>
      </c>
      <c r="F11" s="823">
        <v>748596</v>
      </c>
      <c r="G11" s="823">
        <v>209949</v>
      </c>
      <c r="H11" s="829">
        <v>679400</v>
      </c>
      <c r="I11" s="823">
        <v>0</v>
      </c>
      <c r="J11" s="823">
        <v>224169</v>
      </c>
      <c r="K11" s="829">
        <v>903569</v>
      </c>
    </row>
    <row r="12" spans="1:11" ht="18" customHeight="1">
      <c r="A12" s="473">
        <v>4</v>
      </c>
      <c r="B12" s="912" t="s">
        <v>676</v>
      </c>
      <c r="C12" s="823">
        <v>9697197</v>
      </c>
      <c r="D12" s="829">
        <v>468845</v>
      </c>
      <c r="E12" s="823">
        <v>76568</v>
      </c>
      <c r="F12" s="823">
        <v>392277</v>
      </c>
      <c r="G12" s="823"/>
      <c r="H12" s="829">
        <v>468845</v>
      </c>
      <c r="I12" s="823">
        <v>0</v>
      </c>
      <c r="J12" s="823">
        <v>171530</v>
      </c>
      <c r="K12" s="829">
        <v>640375</v>
      </c>
    </row>
    <row r="13" spans="1:11" ht="18" customHeight="1">
      <c r="A13" s="473">
        <v>5</v>
      </c>
      <c r="B13" s="912" t="s">
        <v>677</v>
      </c>
      <c r="C13" s="823">
        <v>421814</v>
      </c>
      <c r="D13" s="829">
        <v>156724</v>
      </c>
      <c r="E13" s="823">
        <v>58259</v>
      </c>
      <c r="F13" s="823">
        <v>98465</v>
      </c>
      <c r="G13" s="823"/>
      <c r="H13" s="829">
        <v>156724</v>
      </c>
      <c r="I13" s="823">
        <v>268335</v>
      </c>
      <c r="J13" s="823">
        <v>149822</v>
      </c>
      <c r="K13" s="829">
        <v>574881</v>
      </c>
    </row>
    <row r="14" spans="1:11" ht="18" customHeight="1">
      <c r="A14" s="473">
        <v>6</v>
      </c>
      <c r="B14" s="912" t="s">
        <v>678</v>
      </c>
      <c r="C14" s="823">
        <v>201734</v>
      </c>
      <c r="D14" s="829">
        <v>127800</v>
      </c>
      <c r="E14" s="823">
        <v>73111</v>
      </c>
      <c r="F14" s="823">
        <v>54689</v>
      </c>
      <c r="G14" s="823"/>
      <c r="H14" s="829">
        <v>127800</v>
      </c>
      <c r="I14" s="823">
        <v>361974</v>
      </c>
      <c r="J14" s="823">
        <v>214699</v>
      </c>
      <c r="K14" s="829">
        <v>704473</v>
      </c>
    </row>
    <row r="15" spans="1:11" ht="18" customHeight="1">
      <c r="A15" s="473">
        <v>7</v>
      </c>
      <c r="B15" s="912" t="s">
        <v>679</v>
      </c>
      <c r="C15" s="823">
        <v>187015</v>
      </c>
      <c r="D15" s="829">
        <v>111098</v>
      </c>
      <c r="E15" s="823">
        <v>60521</v>
      </c>
      <c r="F15" s="823">
        <v>50577</v>
      </c>
      <c r="G15" s="823"/>
      <c r="H15" s="829">
        <v>111098</v>
      </c>
      <c r="I15" s="823">
        <v>421208</v>
      </c>
      <c r="J15" s="823">
        <v>192884</v>
      </c>
      <c r="K15" s="829">
        <v>725190</v>
      </c>
    </row>
    <row r="16" spans="1:11" ht="18" customHeight="1">
      <c r="A16" s="473">
        <v>8</v>
      </c>
      <c r="B16" s="912" t="s">
        <v>680</v>
      </c>
      <c r="C16" s="823">
        <v>102038</v>
      </c>
      <c r="D16" s="829">
        <v>51411</v>
      </c>
      <c r="E16" s="823">
        <v>30786</v>
      </c>
      <c r="F16" s="823">
        <v>20625</v>
      </c>
      <c r="G16" s="823"/>
      <c r="H16" s="829">
        <v>51411</v>
      </c>
      <c r="I16" s="823">
        <v>200991</v>
      </c>
      <c r="J16" s="823">
        <v>103787</v>
      </c>
      <c r="K16" s="829">
        <v>356189</v>
      </c>
    </row>
    <row r="17" spans="1:11" ht="18" customHeight="1">
      <c r="A17" s="473">
        <v>9</v>
      </c>
      <c r="B17" s="912" t="s">
        <v>681</v>
      </c>
      <c r="C17" s="823">
        <v>84815</v>
      </c>
      <c r="D17" s="829">
        <v>53982</v>
      </c>
      <c r="E17" s="823">
        <v>31429</v>
      </c>
      <c r="F17" s="823">
        <v>22553</v>
      </c>
      <c r="G17" s="823"/>
      <c r="H17" s="829">
        <v>53982</v>
      </c>
      <c r="I17" s="823">
        <v>254882</v>
      </c>
      <c r="J17" s="823">
        <v>177096</v>
      </c>
      <c r="K17" s="829">
        <v>485960</v>
      </c>
    </row>
    <row r="18" spans="1:11" ht="18" customHeight="1">
      <c r="A18" s="473">
        <v>10</v>
      </c>
      <c r="B18" s="912" t="s">
        <v>682</v>
      </c>
      <c r="C18" s="823">
        <v>59150</v>
      </c>
      <c r="D18" s="829">
        <v>34849</v>
      </c>
      <c r="E18" s="823">
        <v>17933</v>
      </c>
      <c r="F18" s="823">
        <v>16916</v>
      </c>
      <c r="G18" s="823"/>
      <c r="H18" s="829">
        <v>34849</v>
      </c>
      <c r="I18" s="823">
        <v>117551</v>
      </c>
      <c r="J18" s="823">
        <v>81459</v>
      </c>
      <c r="K18" s="829">
        <v>233859</v>
      </c>
    </row>
    <row r="19" spans="1:11" ht="18" customHeight="1">
      <c r="A19" s="473">
        <v>11</v>
      </c>
      <c r="B19" s="912" t="s">
        <v>683</v>
      </c>
      <c r="C19" s="823">
        <v>56690</v>
      </c>
      <c r="D19" s="829">
        <v>36951</v>
      </c>
      <c r="E19" s="823">
        <v>21723</v>
      </c>
      <c r="F19" s="823">
        <v>15228</v>
      </c>
      <c r="G19" s="823">
        <v>12600</v>
      </c>
      <c r="H19" s="829">
        <v>24351</v>
      </c>
      <c r="I19" s="823">
        <v>269168</v>
      </c>
      <c r="J19" s="823">
        <v>129760</v>
      </c>
      <c r="K19" s="829">
        <v>423279</v>
      </c>
    </row>
    <row r="20" spans="1:11" ht="18" customHeight="1">
      <c r="A20" s="473">
        <v>12</v>
      </c>
      <c r="B20" s="912" t="s">
        <v>684</v>
      </c>
      <c r="C20" s="823">
        <v>18629</v>
      </c>
      <c r="D20" s="829">
        <v>11499</v>
      </c>
      <c r="E20" s="823">
        <v>6714</v>
      </c>
      <c r="F20" s="823">
        <v>4785</v>
      </c>
      <c r="G20" s="823"/>
      <c r="H20" s="829">
        <v>11499</v>
      </c>
      <c r="I20" s="823">
        <v>202001</v>
      </c>
      <c r="J20" s="823">
        <v>100573</v>
      </c>
      <c r="K20" s="829">
        <v>314073</v>
      </c>
    </row>
    <row r="21" spans="1:11" ht="18" customHeight="1">
      <c r="A21" s="473">
        <v>13</v>
      </c>
      <c r="B21" s="912" t="s">
        <v>685</v>
      </c>
      <c r="C21" s="823">
        <v>248918</v>
      </c>
      <c r="D21" s="829">
        <v>167191</v>
      </c>
      <c r="E21" s="823">
        <v>101199</v>
      </c>
      <c r="F21" s="823">
        <v>65992</v>
      </c>
      <c r="G21" s="823">
        <v>29673</v>
      </c>
      <c r="H21" s="829">
        <v>137518</v>
      </c>
      <c r="I21" s="823">
        <v>77223</v>
      </c>
      <c r="J21" s="823">
        <v>124132</v>
      </c>
      <c r="K21" s="829">
        <v>338873</v>
      </c>
    </row>
    <row r="22" spans="1:11" ht="18" customHeight="1">
      <c r="A22" s="473">
        <v>14</v>
      </c>
      <c r="B22" s="912" t="s">
        <v>686</v>
      </c>
      <c r="C22" s="823">
        <v>206507</v>
      </c>
      <c r="D22" s="829">
        <v>142556</v>
      </c>
      <c r="E22" s="823">
        <v>90696</v>
      </c>
      <c r="F22" s="823">
        <v>51860</v>
      </c>
      <c r="G22" s="823">
        <v>10776</v>
      </c>
      <c r="H22" s="829">
        <v>131780</v>
      </c>
      <c r="I22" s="823">
        <v>69286</v>
      </c>
      <c r="J22" s="823">
        <v>71416</v>
      </c>
      <c r="K22" s="829">
        <v>272482</v>
      </c>
    </row>
    <row r="23" spans="1:11" ht="18" customHeight="1">
      <c r="A23" s="473">
        <v>15</v>
      </c>
      <c r="B23" s="912" t="s">
        <v>687</v>
      </c>
      <c r="C23" s="823">
        <v>260441</v>
      </c>
      <c r="D23" s="829">
        <v>167171</v>
      </c>
      <c r="E23" s="823">
        <v>91220</v>
      </c>
      <c r="F23" s="823">
        <v>75951</v>
      </c>
      <c r="G23" s="823"/>
      <c r="H23" s="829">
        <v>167171</v>
      </c>
      <c r="I23" s="823">
        <v>11112</v>
      </c>
      <c r="J23" s="823">
        <v>74160</v>
      </c>
      <c r="K23" s="829">
        <v>252443</v>
      </c>
    </row>
    <row r="24" spans="1:11" ht="18" customHeight="1">
      <c r="A24" s="473">
        <v>16</v>
      </c>
      <c r="B24" s="912" t="s">
        <v>688</v>
      </c>
      <c r="C24" s="823">
        <v>18655</v>
      </c>
      <c r="D24" s="829">
        <v>14830</v>
      </c>
      <c r="E24" s="823">
        <v>11826</v>
      </c>
      <c r="F24" s="823">
        <v>3004</v>
      </c>
      <c r="G24" s="823"/>
      <c r="H24" s="829">
        <v>14830</v>
      </c>
      <c r="I24" s="823">
        <v>192027</v>
      </c>
      <c r="J24" s="823">
        <v>99785</v>
      </c>
      <c r="K24" s="829">
        <v>306642</v>
      </c>
    </row>
    <row r="25" spans="1:11" ht="18" customHeight="1">
      <c r="A25" s="473">
        <v>17</v>
      </c>
      <c r="B25" s="912" t="s">
        <v>689</v>
      </c>
      <c r="C25" s="823">
        <v>123277</v>
      </c>
      <c r="D25" s="829">
        <v>81926</v>
      </c>
      <c r="E25" s="823">
        <v>48631</v>
      </c>
      <c r="F25" s="823">
        <v>33295</v>
      </c>
      <c r="G25" s="823"/>
      <c r="H25" s="829">
        <v>81926</v>
      </c>
      <c r="I25" s="823">
        <v>168984</v>
      </c>
      <c r="J25" s="823">
        <v>115963</v>
      </c>
      <c r="K25" s="829">
        <v>366873</v>
      </c>
    </row>
    <row r="26" spans="1:11" ht="18" customHeight="1">
      <c r="A26" s="907">
        <v>18</v>
      </c>
      <c r="B26" s="913" t="s">
        <v>690</v>
      </c>
      <c r="C26" s="846">
        <v>37840</v>
      </c>
      <c r="D26" s="846">
        <v>30021</v>
      </c>
      <c r="E26" s="846">
        <v>23815</v>
      </c>
      <c r="F26" s="846">
        <v>6206</v>
      </c>
      <c r="G26" s="846"/>
      <c r="H26" s="846">
        <v>30021</v>
      </c>
      <c r="I26" s="846">
        <v>161107</v>
      </c>
      <c r="J26" s="846">
        <v>128268</v>
      </c>
      <c r="K26" s="846">
        <v>319396</v>
      </c>
    </row>
  </sheetData>
  <mergeCells count="15">
    <mergeCell ref="A8:B8"/>
    <mergeCell ref="J1:K1"/>
    <mergeCell ref="A2:K2"/>
    <mergeCell ref="A3:K3"/>
    <mergeCell ref="J4:K4"/>
    <mergeCell ref="A5:A6"/>
    <mergeCell ref="B5:B6"/>
    <mergeCell ref="C5:C6"/>
    <mergeCell ref="D5:D6"/>
    <mergeCell ref="E5:F5"/>
    <mergeCell ref="G5:G6"/>
    <mergeCell ref="H5:H6"/>
    <mergeCell ref="I5:I6"/>
    <mergeCell ref="J5:J6"/>
    <mergeCell ref="K5:K6"/>
  </mergeCells>
  <printOptions horizontalCentered="1"/>
  <pageMargins left="0.45" right="0.45" top="0.5" bottom="0.2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B48"/>
  <sheetViews>
    <sheetView workbookViewId="0">
      <selection activeCell="AC8" sqref="AC8"/>
    </sheetView>
  </sheetViews>
  <sheetFormatPr defaultColWidth="9.140625" defaultRowHeight="16.5"/>
  <cols>
    <col min="1" max="1" width="5.42578125" style="580" customWidth="1"/>
    <col min="2" max="2" width="25" style="580" customWidth="1"/>
    <col min="3" max="3" width="14" style="580" customWidth="1"/>
    <col min="4" max="4" width="15.5703125" style="580" customWidth="1"/>
    <col min="5" max="5" width="15.85546875" style="580" customWidth="1"/>
    <col min="6" max="6" width="14" style="580" customWidth="1"/>
    <col min="7" max="7" width="9.140625" style="580"/>
    <col min="8" max="8" width="0" style="580" hidden="1" customWidth="1"/>
    <col min="9" max="9" width="13.140625" style="584" hidden="1" customWidth="1"/>
    <col min="10" max="27" width="8.7109375" style="580" hidden="1" customWidth="1"/>
    <col min="28" max="28" width="0" style="580" hidden="1" customWidth="1"/>
    <col min="29" max="16384" width="9.140625" style="580"/>
  </cols>
  <sheetData>
    <row r="1" spans="1:28" ht="22.5" customHeight="1">
      <c r="A1" s="1027" t="s">
        <v>901</v>
      </c>
      <c r="B1" s="1027"/>
      <c r="C1" s="1027"/>
      <c r="D1" s="896"/>
      <c r="E1" s="1015" t="s">
        <v>968</v>
      </c>
      <c r="F1" s="1015"/>
    </row>
    <row r="2" spans="1:28">
      <c r="A2" s="898"/>
      <c r="B2" s="898"/>
      <c r="C2" s="898"/>
      <c r="D2" s="896"/>
      <c r="E2" s="859"/>
      <c r="F2" s="859"/>
    </row>
    <row r="3" spans="1:28" ht="42.75" customHeight="1">
      <c r="A3" s="1016" t="s">
        <v>645</v>
      </c>
      <c r="B3" s="1016"/>
      <c r="C3" s="1016"/>
      <c r="D3" s="1016"/>
      <c r="E3" s="1016"/>
      <c r="F3" s="1016"/>
    </row>
    <row r="4" spans="1:28" ht="23.25" customHeight="1">
      <c r="A4" s="1067" t="s">
        <v>1049</v>
      </c>
      <c r="B4" s="1067"/>
      <c r="C4" s="1067"/>
      <c r="D4" s="1067"/>
      <c r="E4" s="1067"/>
      <c r="F4" s="1067"/>
    </row>
    <row r="5" spans="1:28">
      <c r="A5" s="1012" t="s">
        <v>199</v>
      </c>
      <c r="B5" s="1012"/>
      <c r="C5" s="1012"/>
      <c r="D5" s="1012"/>
      <c r="E5" s="1012"/>
      <c r="F5" s="1012"/>
    </row>
    <row r="6" spans="1:28" ht="115.5">
      <c r="A6" s="751" t="s">
        <v>11</v>
      </c>
      <c r="B6" s="751" t="s">
        <v>779</v>
      </c>
      <c r="C6" s="751" t="s">
        <v>615</v>
      </c>
      <c r="D6" s="751" t="s">
        <v>617</v>
      </c>
      <c r="E6" s="751" t="s">
        <v>627</v>
      </c>
      <c r="F6" s="751" t="s">
        <v>619</v>
      </c>
      <c r="I6" s="734" t="s">
        <v>737</v>
      </c>
      <c r="J6" s="734" t="s">
        <v>738</v>
      </c>
      <c r="K6" s="734" t="s">
        <v>739</v>
      </c>
      <c r="L6" s="734" t="s">
        <v>740</v>
      </c>
      <c r="M6" s="734" t="s">
        <v>741</v>
      </c>
      <c r="N6" s="734" t="s">
        <v>742</v>
      </c>
      <c r="O6" s="734" t="s">
        <v>743</v>
      </c>
      <c r="P6" s="734" t="s">
        <v>744</v>
      </c>
      <c r="Q6" s="734" t="s">
        <v>745</v>
      </c>
      <c r="R6" s="734" t="s">
        <v>746</v>
      </c>
      <c r="S6" s="734" t="s">
        <v>747</v>
      </c>
      <c r="T6" s="734" t="s">
        <v>748</v>
      </c>
      <c r="U6" s="734" t="s">
        <v>749</v>
      </c>
      <c r="V6" s="734" t="s">
        <v>750</v>
      </c>
      <c r="W6" s="734" t="s">
        <v>751</v>
      </c>
      <c r="X6" s="734" t="s">
        <v>752</v>
      </c>
      <c r="Y6" s="734" t="s">
        <v>753</v>
      </c>
      <c r="Z6" s="734" t="s">
        <v>754</v>
      </c>
      <c r="AA6" s="734" t="s">
        <v>755</v>
      </c>
    </row>
    <row r="7" spans="1:28">
      <c r="A7" s="751" t="s">
        <v>12</v>
      </c>
      <c r="B7" s="751" t="s">
        <v>13</v>
      </c>
      <c r="C7" s="751" t="s">
        <v>628</v>
      </c>
      <c r="D7" s="751">
        <v>2</v>
      </c>
      <c r="E7" s="751">
        <v>3</v>
      </c>
      <c r="F7" s="751">
        <v>4</v>
      </c>
      <c r="I7" s="738">
        <f>I8+I9</f>
        <v>2374874</v>
      </c>
      <c r="J7" s="738">
        <f t="shared" ref="J7:AA7" si="0">J8+J9</f>
        <v>117578</v>
      </c>
      <c r="K7" s="738">
        <f t="shared" si="0"/>
        <v>97793</v>
      </c>
      <c r="L7" s="738">
        <f t="shared" si="0"/>
        <v>224169</v>
      </c>
      <c r="M7" s="738">
        <f t="shared" si="0"/>
        <v>149822</v>
      </c>
      <c r="N7" s="738">
        <f t="shared" si="0"/>
        <v>214699</v>
      </c>
      <c r="O7" s="738">
        <f t="shared" si="0"/>
        <v>171530</v>
      </c>
      <c r="P7" s="738">
        <f t="shared" si="0"/>
        <v>192884</v>
      </c>
      <c r="Q7" s="738">
        <f t="shared" si="0"/>
        <v>103787</v>
      </c>
      <c r="R7" s="738">
        <f t="shared" si="0"/>
        <v>177096</v>
      </c>
      <c r="S7" s="738">
        <f t="shared" si="0"/>
        <v>81459</v>
      </c>
      <c r="T7" s="738">
        <f t="shared" si="0"/>
        <v>129760</v>
      </c>
      <c r="U7" s="738">
        <f t="shared" si="0"/>
        <v>100573</v>
      </c>
      <c r="V7" s="738">
        <f t="shared" si="0"/>
        <v>124132</v>
      </c>
      <c r="W7" s="738">
        <f t="shared" si="0"/>
        <v>71416</v>
      </c>
      <c r="X7" s="738">
        <f t="shared" si="0"/>
        <v>74160</v>
      </c>
      <c r="Y7" s="738">
        <f t="shared" si="0"/>
        <v>99785</v>
      </c>
      <c r="Z7" s="738">
        <f t="shared" si="0"/>
        <v>115963</v>
      </c>
      <c r="AA7" s="738">
        <f t="shared" si="0"/>
        <v>128268</v>
      </c>
    </row>
    <row r="8" spans="1:28">
      <c r="A8" s="766"/>
      <c r="B8" s="766" t="s">
        <v>626</v>
      </c>
      <c r="C8" s="784">
        <f>SUM(C9:C26)</f>
        <v>2374874</v>
      </c>
      <c r="D8" s="784">
        <f>SUM(D9:D26)</f>
        <v>532838</v>
      </c>
      <c r="E8" s="784">
        <f>SUM(E9:E26)</f>
        <v>1842036</v>
      </c>
      <c r="F8" s="784">
        <f t="shared" ref="F8" si="1">SUM(F9:F26)</f>
        <v>0</v>
      </c>
      <c r="H8" s="737" t="s">
        <v>563</v>
      </c>
      <c r="I8" s="736">
        <f>SUM(J8:AA8)</f>
        <v>1842036</v>
      </c>
      <c r="J8" s="735">
        <f>[1]MT2018!D5</f>
        <v>93625</v>
      </c>
      <c r="K8" s="735">
        <f>[1]MT2018!E5</f>
        <v>53378</v>
      </c>
      <c r="L8" s="735">
        <f>[1]MT2018!F5</f>
        <v>182701</v>
      </c>
      <c r="M8" s="735">
        <f>[1]MT2018!G5</f>
        <v>136437</v>
      </c>
      <c r="N8" s="735">
        <f>[1]MT2018!H5</f>
        <v>171455</v>
      </c>
      <c r="O8" s="735">
        <f>[1]MT2018!I5</f>
        <v>129385</v>
      </c>
      <c r="P8" s="735">
        <f>[1]MT2018!J5</f>
        <v>167286</v>
      </c>
      <c r="Q8" s="735">
        <f>[1]MT2018!K5</f>
        <v>83748</v>
      </c>
      <c r="R8" s="735">
        <f>[1]MT2018!L5</f>
        <v>132938</v>
      </c>
      <c r="S8" s="735">
        <f>[1]MT2018!M5</f>
        <v>65190</v>
      </c>
      <c r="T8" s="735">
        <f>[1]MT2018!N5</f>
        <v>102678</v>
      </c>
      <c r="U8" s="735">
        <f>[1]MT2018!O5</f>
        <v>78358</v>
      </c>
      <c r="V8" s="735">
        <f>[1]MT2018!P5</f>
        <v>70873</v>
      </c>
      <c r="W8" s="735">
        <f>[1]MT2018!Q5</f>
        <v>55656</v>
      </c>
      <c r="X8" s="735">
        <f>[1]MT2018!R5</f>
        <v>63446</v>
      </c>
      <c r="Y8" s="735">
        <f>[1]MT2018!S5</f>
        <v>78518</v>
      </c>
      <c r="Z8" s="735">
        <f>[1]MT2018!T5</f>
        <v>96735</v>
      </c>
      <c r="AA8" s="735">
        <f>[1]MT2018!U5</f>
        <v>79629</v>
      </c>
    </row>
    <row r="9" spans="1:28">
      <c r="A9" s="637">
        <v>1</v>
      </c>
      <c r="B9" s="777" t="s">
        <v>673</v>
      </c>
      <c r="C9" s="775">
        <f>D9+E9+F9</f>
        <v>117578</v>
      </c>
      <c r="D9" s="775">
        <f>J9</f>
        <v>23953</v>
      </c>
      <c r="E9" s="775">
        <f>J8</f>
        <v>93625</v>
      </c>
      <c r="F9" s="775"/>
      <c r="H9" s="737" t="s">
        <v>559</v>
      </c>
      <c r="I9" s="736">
        <f t="shared" ref="I9:I11" si="2">SUM(J9:AA9)</f>
        <v>532838</v>
      </c>
      <c r="J9" s="735">
        <f>J10+J11</f>
        <v>23953</v>
      </c>
      <c r="K9" s="735">
        <f t="shared" ref="K9:AA9" si="3">K10+K11</f>
        <v>44415</v>
      </c>
      <c r="L9" s="735">
        <f t="shared" si="3"/>
        <v>41468</v>
      </c>
      <c r="M9" s="735">
        <f t="shared" si="3"/>
        <v>13385</v>
      </c>
      <c r="N9" s="735">
        <f t="shared" si="3"/>
        <v>43244</v>
      </c>
      <c r="O9" s="735">
        <f t="shared" si="3"/>
        <v>42145</v>
      </c>
      <c r="P9" s="735">
        <f t="shared" si="3"/>
        <v>25598</v>
      </c>
      <c r="Q9" s="735">
        <f t="shared" si="3"/>
        <v>20039</v>
      </c>
      <c r="R9" s="735">
        <f t="shared" si="3"/>
        <v>44158</v>
      </c>
      <c r="S9" s="735">
        <f t="shared" si="3"/>
        <v>16269</v>
      </c>
      <c r="T9" s="735">
        <f t="shared" si="3"/>
        <v>27082</v>
      </c>
      <c r="U9" s="735">
        <f t="shared" si="3"/>
        <v>22215</v>
      </c>
      <c r="V9" s="735">
        <f t="shared" si="3"/>
        <v>53259</v>
      </c>
      <c r="W9" s="735">
        <f t="shared" si="3"/>
        <v>15760</v>
      </c>
      <c r="X9" s="735">
        <f t="shared" si="3"/>
        <v>10714</v>
      </c>
      <c r="Y9" s="735">
        <f t="shared" si="3"/>
        <v>21267</v>
      </c>
      <c r="Z9" s="735">
        <f t="shared" si="3"/>
        <v>19228</v>
      </c>
      <c r="AA9" s="735">
        <f t="shared" si="3"/>
        <v>48639</v>
      </c>
    </row>
    <row r="10" spans="1:28">
      <c r="A10" s="637">
        <v>2</v>
      </c>
      <c r="B10" s="777" t="s">
        <v>674</v>
      </c>
      <c r="C10" s="775">
        <f t="shared" ref="C10:C26" si="4">D10+E10+F10</f>
        <v>97793</v>
      </c>
      <c r="D10" s="775">
        <f>K9</f>
        <v>44415</v>
      </c>
      <c r="E10" s="775">
        <f>K8</f>
        <v>53378</v>
      </c>
      <c r="F10" s="775"/>
      <c r="H10" s="609" t="s">
        <v>756</v>
      </c>
      <c r="I10" s="746">
        <f t="shared" si="2"/>
        <v>12650</v>
      </c>
      <c r="J10" s="746">
        <f>[1]MT2018!D120</f>
        <v>0</v>
      </c>
      <c r="K10" s="746">
        <f>[1]MT2018!E120</f>
        <v>0</v>
      </c>
      <c r="L10" s="746">
        <f>[1]MT2018!F120</f>
        <v>0</v>
      </c>
      <c r="M10" s="746">
        <f>[1]MT2018!G120</f>
        <v>0</v>
      </c>
      <c r="N10" s="746">
        <f>[1]MT2018!H120</f>
        <v>1920</v>
      </c>
      <c r="O10" s="746">
        <f>[1]MT2018!I120</f>
        <v>0</v>
      </c>
      <c r="P10" s="746">
        <f>[1]MT2018!J120</f>
        <v>0</v>
      </c>
      <c r="Q10" s="746">
        <f>[1]MT2018!K120</f>
        <v>0</v>
      </c>
      <c r="R10" s="746">
        <f>[1]MT2018!L120</f>
        <v>1460</v>
      </c>
      <c r="S10" s="746">
        <f>[1]MT2018!M120</f>
        <v>42</v>
      </c>
      <c r="T10" s="746">
        <f>[1]MT2018!N120</f>
        <v>1358</v>
      </c>
      <c r="U10" s="746">
        <f>[1]MT2018!O120</f>
        <v>1460</v>
      </c>
      <c r="V10" s="746">
        <f>[1]MT2018!P120</f>
        <v>0</v>
      </c>
      <c r="W10" s="746">
        <f>[1]MT2018!Q120</f>
        <v>1610</v>
      </c>
      <c r="X10" s="746">
        <f>[1]MT2018!R120</f>
        <v>0</v>
      </c>
      <c r="Y10" s="746">
        <f>[1]MT2018!S120</f>
        <v>1560</v>
      </c>
      <c r="Z10" s="746">
        <f>[1]MT2018!T120</f>
        <v>1610</v>
      </c>
      <c r="AA10" s="746">
        <f>[1]MT2018!U120</f>
        <v>1630</v>
      </c>
      <c r="AB10" s="582"/>
    </row>
    <row r="11" spans="1:28">
      <c r="A11" s="637">
        <v>3</v>
      </c>
      <c r="B11" s="777" t="s">
        <v>675</v>
      </c>
      <c r="C11" s="775">
        <f t="shared" si="4"/>
        <v>224169</v>
      </c>
      <c r="D11" s="775">
        <f>L9</f>
        <v>41468</v>
      </c>
      <c r="E11" s="775">
        <f>L8</f>
        <v>182701</v>
      </c>
      <c r="F11" s="775"/>
      <c r="H11" s="580" t="s">
        <v>757</v>
      </c>
      <c r="I11" s="746">
        <f t="shared" si="2"/>
        <v>520188</v>
      </c>
      <c r="J11" s="746">
        <f>[1]MT2018!D121</f>
        <v>23953</v>
      </c>
      <c r="K11" s="746">
        <f>[1]MT2018!E121</f>
        <v>44415</v>
      </c>
      <c r="L11" s="746">
        <f>[1]MT2018!F121</f>
        <v>41468</v>
      </c>
      <c r="M11" s="746">
        <f>[1]MT2018!G121</f>
        <v>13385</v>
      </c>
      <c r="N11" s="746">
        <f>[1]MT2018!H121</f>
        <v>41324</v>
      </c>
      <c r="O11" s="746">
        <f>[1]MT2018!I121</f>
        <v>42145</v>
      </c>
      <c r="P11" s="746">
        <f>[1]MT2018!J121</f>
        <v>25598</v>
      </c>
      <c r="Q11" s="746">
        <f>[1]MT2018!K121</f>
        <v>20039</v>
      </c>
      <c r="R11" s="746">
        <f>[1]MT2018!L121</f>
        <v>42698</v>
      </c>
      <c r="S11" s="746">
        <f>[1]MT2018!M121</f>
        <v>16227</v>
      </c>
      <c r="T11" s="746">
        <f>[1]MT2018!N121</f>
        <v>25724</v>
      </c>
      <c r="U11" s="746">
        <f>[1]MT2018!O121</f>
        <v>20755</v>
      </c>
      <c r="V11" s="746">
        <f>[1]MT2018!P121</f>
        <v>53259</v>
      </c>
      <c r="W11" s="746">
        <f>[1]MT2018!Q121</f>
        <v>14150</v>
      </c>
      <c r="X11" s="746">
        <f>[1]MT2018!R121</f>
        <v>10714</v>
      </c>
      <c r="Y11" s="746">
        <f>[1]MT2018!S121</f>
        <v>19707</v>
      </c>
      <c r="Z11" s="746">
        <f>[1]MT2018!T121</f>
        <v>17618</v>
      </c>
      <c r="AA11" s="746">
        <f>[1]MT2018!U121</f>
        <v>47009</v>
      </c>
      <c r="AB11" s="582"/>
    </row>
    <row r="12" spans="1:28">
      <c r="A12" s="637">
        <v>4</v>
      </c>
      <c r="B12" s="777" t="s">
        <v>677</v>
      </c>
      <c r="C12" s="775">
        <f t="shared" si="4"/>
        <v>149822</v>
      </c>
      <c r="D12" s="775">
        <f>M9</f>
        <v>13385</v>
      </c>
      <c r="E12" s="775">
        <f>M8</f>
        <v>136437</v>
      </c>
      <c r="F12" s="775"/>
    </row>
    <row r="13" spans="1:28">
      <c r="A13" s="637">
        <v>5</v>
      </c>
      <c r="B13" s="777" t="s">
        <v>678</v>
      </c>
      <c r="C13" s="775">
        <f t="shared" si="4"/>
        <v>214699</v>
      </c>
      <c r="D13" s="775">
        <f>N9</f>
        <v>43244</v>
      </c>
      <c r="E13" s="775">
        <f>N8</f>
        <v>171455</v>
      </c>
      <c r="F13" s="775"/>
    </row>
    <row r="14" spans="1:28">
      <c r="A14" s="637">
        <v>6</v>
      </c>
      <c r="B14" s="777" t="s">
        <v>676</v>
      </c>
      <c r="C14" s="775">
        <f t="shared" si="4"/>
        <v>171530</v>
      </c>
      <c r="D14" s="775">
        <f>O9</f>
        <v>42145</v>
      </c>
      <c r="E14" s="775">
        <f>O8</f>
        <v>129385</v>
      </c>
      <c r="F14" s="775"/>
    </row>
    <row r="15" spans="1:28">
      <c r="A15" s="637">
        <v>7</v>
      </c>
      <c r="B15" s="777" t="s">
        <v>679</v>
      </c>
      <c r="C15" s="775">
        <f t="shared" si="4"/>
        <v>192884</v>
      </c>
      <c r="D15" s="775">
        <f>P9</f>
        <v>25598</v>
      </c>
      <c r="E15" s="775">
        <f>P8</f>
        <v>167286</v>
      </c>
      <c r="F15" s="775"/>
    </row>
    <row r="16" spans="1:28">
      <c r="A16" s="637">
        <v>8</v>
      </c>
      <c r="B16" s="777" t="s">
        <v>680</v>
      </c>
      <c r="C16" s="775">
        <f t="shared" si="4"/>
        <v>103787</v>
      </c>
      <c r="D16" s="775">
        <f>Q9</f>
        <v>20039</v>
      </c>
      <c r="E16" s="775">
        <f>Q8</f>
        <v>83748</v>
      </c>
      <c r="F16" s="775"/>
    </row>
    <row r="17" spans="1:6">
      <c r="A17" s="637">
        <v>9</v>
      </c>
      <c r="B17" s="777" t="s">
        <v>681</v>
      </c>
      <c r="C17" s="775">
        <f t="shared" si="4"/>
        <v>177096</v>
      </c>
      <c r="D17" s="775">
        <f>R9</f>
        <v>44158</v>
      </c>
      <c r="E17" s="775">
        <f>R8</f>
        <v>132938</v>
      </c>
      <c r="F17" s="775"/>
    </row>
    <row r="18" spans="1:6">
      <c r="A18" s="637">
        <v>10</v>
      </c>
      <c r="B18" s="777" t="s">
        <v>682</v>
      </c>
      <c r="C18" s="775">
        <f t="shared" si="4"/>
        <v>81459</v>
      </c>
      <c r="D18" s="775">
        <f>S9</f>
        <v>16269</v>
      </c>
      <c r="E18" s="775">
        <f>S8</f>
        <v>65190</v>
      </c>
      <c r="F18" s="775"/>
    </row>
    <row r="19" spans="1:6">
      <c r="A19" s="637">
        <v>11</v>
      </c>
      <c r="B19" s="777" t="s">
        <v>683</v>
      </c>
      <c r="C19" s="775">
        <f t="shared" si="4"/>
        <v>129760</v>
      </c>
      <c r="D19" s="775">
        <f>T9</f>
        <v>27082</v>
      </c>
      <c r="E19" s="775">
        <f>T8</f>
        <v>102678</v>
      </c>
      <c r="F19" s="775"/>
    </row>
    <row r="20" spans="1:6">
      <c r="A20" s="637">
        <v>12</v>
      </c>
      <c r="B20" s="777" t="s">
        <v>684</v>
      </c>
      <c r="C20" s="775">
        <f t="shared" si="4"/>
        <v>100573</v>
      </c>
      <c r="D20" s="775">
        <f>U9</f>
        <v>22215</v>
      </c>
      <c r="E20" s="775">
        <f>U8</f>
        <v>78358</v>
      </c>
      <c r="F20" s="775"/>
    </row>
    <row r="21" spans="1:6">
      <c r="A21" s="637">
        <v>13</v>
      </c>
      <c r="B21" s="777" t="s">
        <v>685</v>
      </c>
      <c r="C21" s="775">
        <f t="shared" si="4"/>
        <v>124132</v>
      </c>
      <c r="D21" s="775">
        <f>V9</f>
        <v>53259</v>
      </c>
      <c r="E21" s="775">
        <f>V8</f>
        <v>70873</v>
      </c>
      <c r="F21" s="775"/>
    </row>
    <row r="22" spans="1:6">
      <c r="A22" s="637">
        <v>14</v>
      </c>
      <c r="B22" s="777" t="s">
        <v>686</v>
      </c>
      <c r="C22" s="775">
        <f t="shared" si="4"/>
        <v>71416</v>
      </c>
      <c r="D22" s="775">
        <f>W9</f>
        <v>15760</v>
      </c>
      <c r="E22" s="775">
        <f>W8</f>
        <v>55656</v>
      </c>
      <c r="F22" s="775"/>
    </row>
    <row r="23" spans="1:6">
      <c r="A23" s="637">
        <v>15</v>
      </c>
      <c r="B23" s="777" t="s">
        <v>687</v>
      </c>
      <c r="C23" s="775">
        <f t="shared" si="4"/>
        <v>74160</v>
      </c>
      <c r="D23" s="775">
        <f>X9</f>
        <v>10714</v>
      </c>
      <c r="E23" s="775">
        <f>X8</f>
        <v>63446</v>
      </c>
      <c r="F23" s="775"/>
    </row>
    <row r="24" spans="1:6">
      <c r="A24" s="637">
        <v>16</v>
      </c>
      <c r="B24" s="777" t="s">
        <v>688</v>
      </c>
      <c r="C24" s="775">
        <f t="shared" si="4"/>
        <v>99785</v>
      </c>
      <c r="D24" s="775">
        <f>Y9</f>
        <v>21267</v>
      </c>
      <c r="E24" s="775">
        <f>Y8</f>
        <v>78518</v>
      </c>
      <c r="F24" s="775"/>
    </row>
    <row r="25" spans="1:6">
      <c r="A25" s="637">
        <v>17</v>
      </c>
      <c r="B25" s="777" t="s">
        <v>689</v>
      </c>
      <c r="C25" s="775">
        <f t="shared" si="4"/>
        <v>115963</v>
      </c>
      <c r="D25" s="775">
        <f>Z9</f>
        <v>19228</v>
      </c>
      <c r="E25" s="775">
        <f>Z8</f>
        <v>96735</v>
      </c>
      <c r="F25" s="775"/>
    </row>
    <row r="26" spans="1:6">
      <c r="A26" s="637">
        <v>18</v>
      </c>
      <c r="B26" s="777" t="s">
        <v>690</v>
      </c>
      <c r="C26" s="775">
        <f t="shared" si="4"/>
        <v>128268</v>
      </c>
      <c r="D26" s="775">
        <f>AA9</f>
        <v>48639</v>
      </c>
      <c r="E26" s="775">
        <f>AA8</f>
        <v>79629</v>
      </c>
      <c r="F26" s="775"/>
    </row>
    <row r="27" spans="1:6">
      <c r="A27" s="763"/>
      <c r="B27" s="764"/>
      <c r="C27" s="763"/>
      <c r="D27" s="763"/>
      <c r="E27" s="763"/>
      <c r="F27" s="763"/>
    </row>
    <row r="28" spans="1:6" ht="38.25" customHeight="1">
      <c r="A28" s="1066"/>
      <c r="B28" s="1066"/>
      <c r="C28" s="1066"/>
      <c r="D28" s="1066"/>
      <c r="E28" s="1066"/>
      <c r="F28" s="1066"/>
    </row>
    <row r="29" spans="1:6">
      <c r="A29" s="607"/>
    </row>
    <row r="46" ht="19.5" customHeight="1"/>
    <row r="47" ht="19.5" customHeight="1"/>
    <row r="48" ht="24.75" customHeight="1"/>
  </sheetData>
  <mergeCells count="6">
    <mergeCell ref="A28:F28"/>
    <mergeCell ref="A3:F3"/>
    <mergeCell ref="A4:F4"/>
    <mergeCell ref="A5:F5"/>
    <mergeCell ref="E1:F1"/>
    <mergeCell ref="A1:C1"/>
  </mergeCells>
  <printOptions horizontalCentered="1"/>
  <pageMargins left="0.761811024" right="0" top="0.74803149606299202" bottom="0.55118110236220497" header="0.31496062992126" footer="0.31496062992126"/>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A68" workbookViewId="0">
      <selection activeCell="C4" sqref="C4:J4"/>
    </sheetView>
  </sheetViews>
  <sheetFormatPr defaultColWidth="9.140625" defaultRowHeight="16.5"/>
  <cols>
    <col min="1" max="1" width="5.140625" style="580" customWidth="1"/>
    <col min="2" max="2" width="34.42578125" style="580" customWidth="1"/>
    <col min="3" max="6" width="14" style="580" customWidth="1"/>
    <col min="7" max="7" width="10" style="580" bestFit="1" customWidth="1"/>
    <col min="8" max="12" width="13.140625" style="580" customWidth="1"/>
    <col min="13" max="16384" width="9.140625" style="580"/>
  </cols>
  <sheetData>
    <row r="1" spans="1:10">
      <c r="A1" s="1068" t="s">
        <v>783</v>
      </c>
      <c r="B1" s="1068"/>
      <c r="C1" s="1068"/>
      <c r="D1" s="1068"/>
      <c r="E1" s="1068"/>
      <c r="F1" s="1068"/>
    </row>
    <row r="2" spans="1:10" ht="18.75">
      <c r="A2" s="1051" t="s">
        <v>536</v>
      </c>
      <c r="B2" s="1051"/>
      <c r="C2" s="1051"/>
      <c r="D2" s="1051"/>
      <c r="E2" s="1051"/>
      <c r="F2" s="1051"/>
    </row>
    <row r="3" spans="1:10">
      <c r="A3" s="1070" t="s">
        <v>872</v>
      </c>
      <c r="B3" s="1070"/>
      <c r="C3" s="1070"/>
      <c r="D3" s="1070"/>
      <c r="E3" s="1070"/>
      <c r="F3" s="1070"/>
      <c r="G3" s="747"/>
    </row>
    <row r="4" spans="1:10">
      <c r="A4" s="1071" t="s">
        <v>199</v>
      </c>
      <c r="B4" s="1071"/>
      <c r="C4" s="1071"/>
      <c r="D4" s="1071"/>
      <c r="E4" s="1071"/>
      <c r="F4" s="1071"/>
    </row>
    <row r="5" spans="1:10">
      <c r="A5" s="1008" t="s">
        <v>11</v>
      </c>
      <c r="B5" s="1008" t="s">
        <v>289</v>
      </c>
      <c r="C5" s="1008" t="s">
        <v>400</v>
      </c>
      <c r="D5" s="1008" t="s">
        <v>472</v>
      </c>
      <c r="E5" s="1008" t="s">
        <v>371</v>
      </c>
      <c r="F5" s="1008"/>
    </row>
    <row r="6" spans="1:10" ht="33">
      <c r="A6" s="1008"/>
      <c r="B6" s="1008"/>
      <c r="C6" s="1008"/>
      <c r="D6" s="1008"/>
      <c r="E6" s="751" t="s">
        <v>537</v>
      </c>
      <c r="F6" s="751" t="s">
        <v>538</v>
      </c>
    </row>
    <row r="7" spans="1:10">
      <c r="A7" s="751" t="s">
        <v>12</v>
      </c>
      <c r="B7" s="751" t="s">
        <v>13</v>
      </c>
      <c r="C7" s="751">
        <v>1</v>
      </c>
      <c r="D7" s="751">
        <v>2</v>
      </c>
      <c r="E7" s="751" t="s">
        <v>539</v>
      </c>
      <c r="F7" s="751" t="s">
        <v>540</v>
      </c>
      <c r="J7" s="621">
        <f>D8+469500-76300</f>
        <v>20461070</v>
      </c>
    </row>
    <row r="8" spans="1:10" s="584" customFormat="1">
      <c r="A8" s="757"/>
      <c r="B8" s="767" t="s">
        <v>383</v>
      </c>
      <c r="C8" s="758">
        <f>C9+C49+C73</f>
        <v>20389234</v>
      </c>
      <c r="D8" s="758">
        <f>D9+D49+D73</f>
        <v>20067870</v>
      </c>
      <c r="E8" s="758">
        <f>D8-C8</f>
        <v>-321364</v>
      </c>
      <c r="F8" s="759">
        <f>D8/C8</f>
        <v>0.98423854471433303</v>
      </c>
      <c r="H8" s="585">
        <f>D8-20291571</f>
        <v>-223701</v>
      </c>
      <c r="J8" s="585">
        <f>13681573+D49+'ngay 27-11'!V8+3000000</f>
        <v>20461072</v>
      </c>
    </row>
    <row r="9" spans="1:10" s="584" customFormat="1">
      <c r="A9" s="655" t="s">
        <v>12</v>
      </c>
      <c r="B9" s="635" t="s">
        <v>541</v>
      </c>
      <c r="C9" s="636">
        <f>C10+C25+C44+C45+C46+C47+C48</f>
        <v>18924328</v>
      </c>
      <c r="D9" s="636">
        <f>D10+D25+D44+D45+D46+D47+D48</f>
        <v>17603196</v>
      </c>
      <c r="E9" s="636">
        <f t="shared" ref="E9:E73" si="0">D9-C9</f>
        <v>-1321132</v>
      </c>
      <c r="F9" s="656">
        <f t="shared" ref="F9:F62" si="1">D9/C9</f>
        <v>0.93018869679282667</v>
      </c>
      <c r="H9" s="584">
        <v>76300</v>
      </c>
      <c r="J9" s="585">
        <f>J7-469500</f>
        <v>19991570</v>
      </c>
    </row>
    <row r="10" spans="1:10" s="584" customFormat="1">
      <c r="A10" s="655" t="s">
        <v>17</v>
      </c>
      <c r="B10" s="635" t="s">
        <v>542</v>
      </c>
      <c r="C10" s="636">
        <f>C11+C23+C24</f>
        <v>3594051</v>
      </c>
      <c r="D10" s="636">
        <f>D11+D23+D24</f>
        <v>2461938</v>
      </c>
      <c r="E10" s="636">
        <f t="shared" si="0"/>
        <v>-1132113</v>
      </c>
      <c r="F10" s="656">
        <f t="shared" si="1"/>
        <v>0.68500363517379137</v>
      </c>
      <c r="H10" s="585">
        <f>H8-H9</f>
        <v>-300001</v>
      </c>
    </row>
    <row r="11" spans="1:10">
      <c r="A11" s="641">
        <v>1</v>
      </c>
      <c r="B11" s="638" t="s">
        <v>543</v>
      </c>
      <c r="C11" s="639">
        <f>790680+500000+70000+197700+50000+145000+17500+1758171</f>
        <v>3529051</v>
      </c>
      <c r="D11" s="639">
        <f>'ngay 27-11'!E11+'ngay 27-11'!E15+'ngay 27-11'!E25+'ngay 27-11'!E26+'ngay 27-11'!E27+'ngay 27-11'!E31</f>
        <v>2381938</v>
      </c>
      <c r="E11" s="639">
        <f t="shared" si="0"/>
        <v>-1147113</v>
      </c>
      <c r="F11" s="657">
        <f t="shared" si="1"/>
        <v>0.67495142461811974</v>
      </c>
    </row>
    <row r="12" spans="1:10" hidden="1">
      <c r="A12" s="641"/>
      <c r="B12" s="640" t="s">
        <v>544</v>
      </c>
      <c r="C12" s="639"/>
      <c r="D12" s="639"/>
      <c r="E12" s="636">
        <f t="shared" si="0"/>
        <v>0</v>
      </c>
      <c r="F12" s="656"/>
    </row>
    <row r="13" spans="1:10" ht="33" hidden="1">
      <c r="A13" s="641" t="s">
        <v>257</v>
      </c>
      <c r="B13" s="640" t="s">
        <v>545</v>
      </c>
      <c r="C13" s="639"/>
      <c r="D13" s="639"/>
      <c r="E13" s="636">
        <f t="shared" si="0"/>
        <v>0</v>
      </c>
      <c r="F13" s="656"/>
    </row>
    <row r="14" spans="1:10" hidden="1">
      <c r="A14" s="641" t="s">
        <v>257</v>
      </c>
      <c r="B14" s="640" t="s">
        <v>546</v>
      </c>
      <c r="C14" s="639"/>
      <c r="D14" s="639"/>
      <c r="E14" s="636">
        <f t="shared" si="0"/>
        <v>0</v>
      </c>
      <c r="F14" s="656"/>
    </row>
    <row r="15" spans="1:10" s="584" customFormat="1" ht="33">
      <c r="A15" s="655"/>
      <c r="B15" s="635" t="s">
        <v>547</v>
      </c>
      <c r="C15" s="636"/>
      <c r="D15" s="636"/>
      <c r="E15" s="636">
        <f t="shared" si="0"/>
        <v>0</v>
      </c>
      <c r="F15" s="656"/>
    </row>
    <row r="16" spans="1:10" ht="33">
      <c r="A16" s="641" t="s">
        <v>433</v>
      </c>
      <c r="B16" s="640" t="s">
        <v>409</v>
      </c>
      <c r="C16" s="639">
        <v>790680</v>
      </c>
      <c r="D16" s="639">
        <f>'ngay 27-11'!E11</f>
        <v>869860</v>
      </c>
      <c r="E16" s="639">
        <f t="shared" si="0"/>
        <v>79180</v>
      </c>
      <c r="F16" s="657">
        <f t="shared" si="1"/>
        <v>1.1001416502251227</v>
      </c>
    </row>
    <row r="17" spans="1:11" ht="33">
      <c r="A17" s="641" t="s">
        <v>433</v>
      </c>
      <c r="B17" s="640" t="s">
        <v>873</v>
      </c>
      <c r="C17" s="639">
        <v>50000</v>
      </c>
      <c r="D17" s="639">
        <f>'ngay 27-11'!E17</f>
        <v>15000</v>
      </c>
      <c r="E17" s="639">
        <f t="shared" si="0"/>
        <v>-35000</v>
      </c>
      <c r="F17" s="657">
        <f t="shared" si="1"/>
        <v>0.3</v>
      </c>
    </row>
    <row r="18" spans="1:11" ht="33">
      <c r="A18" s="641" t="s">
        <v>257</v>
      </c>
      <c r="B18" s="640" t="s">
        <v>548</v>
      </c>
      <c r="C18" s="639">
        <v>500000</v>
      </c>
      <c r="D18" s="639">
        <f>'ngay 27-11'!E25</f>
        <v>865000</v>
      </c>
      <c r="E18" s="639">
        <f t="shared" si="0"/>
        <v>365000</v>
      </c>
      <c r="F18" s="657">
        <f t="shared" si="1"/>
        <v>1.73</v>
      </c>
    </row>
    <row r="19" spans="1:11" ht="33">
      <c r="A19" s="641" t="s">
        <v>257</v>
      </c>
      <c r="B19" s="640" t="s">
        <v>549</v>
      </c>
      <c r="C19" s="639">
        <v>70000</v>
      </c>
      <c r="D19" s="639">
        <f>'ngay 27-11'!E26</f>
        <v>76000</v>
      </c>
      <c r="E19" s="639">
        <f t="shared" si="0"/>
        <v>6000</v>
      </c>
      <c r="F19" s="657">
        <f t="shared" si="1"/>
        <v>1.0857142857142856</v>
      </c>
    </row>
    <row r="20" spans="1:11" ht="33">
      <c r="A20" s="641" t="s">
        <v>433</v>
      </c>
      <c r="B20" s="640" t="s">
        <v>666</v>
      </c>
      <c r="C20" s="639">
        <f>145000+17500</f>
        <v>162500</v>
      </c>
      <c r="D20" s="639">
        <f>'ngay 27-11'!E18</f>
        <v>12500</v>
      </c>
      <c r="E20" s="639">
        <f t="shared" si="0"/>
        <v>-150000</v>
      </c>
      <c r="F20" s="657">
        <f t="shared" si="1"/>
        <v>7.6923076923076927E-2</v>
      </c>
    </row>
    <row r="21" spans="1:11">
      <c r="A21" s="641" t="s">
        <v>470</v>
      </c>
      <c r="B21" s="640" t="s">
        <v>573</v>
      </c>
      <c r="C21" s="639">
        <v>197700</v>
      </c>
      <c r="D21" s="639">
        <v>76300</v>
      </c>
      <c r="E21" s="639">
        <f t="shared" si="0"/>
        <v>-121400</v>
      </c>
      <c r="F21" s="657">
        <f t="shared" si="1"/>
        <v>0.38593829033889732</v>
      </c>
    </row>
    <row r="22" spans="1:11" ht="49.5">
      <c r="A22" s="641" t="s">
        <v>433</v>
      </c>
      <c r="B22" s="640" t="s">
        <v>665</v>
      </c>
      <c r="C22" s="639">
        <v>1758171</v>
      </c>
      <c r="D22" s="639">
        <f>'ngay 27-11'!E24+'ngay 27-11'!E20+'ngay 27-11'!E21</f>
        <v>467278</v>
      </c>
      <c r="E22" s="639">
        <f t="shared" si="0"/>
        <v>-1290893</v>
      </c>
      <c r="F22" s="657">
        <f t="shared" si="1"/>
        <v>0.26577505828500186</v>
      </c>
    </row>
    <row r="23" spans="1:11" ht="115.5">
      <c r="A23" s="641">
        <v>2</v>
      </c>
      <c r="B23" s="638" t="s">
        <v>550</v>
      </c>
      <c r="C23" s="639"/>
      <c r="D23" s="639"/>
      <c r="E23" s="636"/>
      <c r="F23" s="656"/>
    </row>
    <row r="24" spans="1:11">
      <c r="A24" s="641">
        <v>3</v>
      </c>
      <c r="B24" s="638" t="s">
        <v>670</v>
      </c>
      <c r="C24" s="639">
        <v>65000</v>
      </c>
      <c r="D24" s="639">
        <f>'ngay 27-11'!E30</f>
        <v>80000</v>
      </c>
      <c r="E24" s="639"/>
      <c r="F24" s="657"/>
    </row>
    <row r="25" spans="1:11" s="584" customFormat="1">
      <c r="A25" s="655" t="s">
        <v>18</v>
      </c>
      <c r="B25" s="635" t="s">
        <v>551</v>
      </c>
      <c r="C25" s="636">
        <f>C26+C27+C28+C30+C31+C32+C33+C34+C35+C37+C39+C40+C42+C43</f>
        <v>11696920</v>
      </c>
      <c r="D25" s="636">
        <f>D26+D27+D28+D30+D31+D32+D33+D34+D35+D37+D39+D40+D42+D43</f>
        <v>11543671</v>
      </c>
      <c r="E25" s="636">
        <f>D25-C25</f>
        <v>-153249</v>
      </c>
      <c r="F25" s="656">
        <f t="shared" si="1"/>
        <v>0.98689834588934522</v>
      </c>
      <c r="G25" s="585"/>
      <c r="H25" s="667">
        <f>H28+H40+H35</f>
        <v>300000</v>
      </c>
    </row>
    <row r="26" spans="1:11">
      <c r="A26" s="641">
        <v>1</v>
      </c>
      <c r="B26" s="665" t="s">
        <v>110</v>
      </c>
      <c r="C26" s="639">
        <v>157011</v>
      </c>
      <c r="D26" s="639">
        <f>'ngay 27-11'!E34</f>
        <v>182554</v>
      </c>
      <c r="E26" s="639">
        <f t="shared" si="0"/>
        <v>25543</v>
      </c>
      <c r="F26" s="657">
        <f t="shared" si="1"/>
        <v>1.1626828693531026</v>
      </c>
    </row>
    <row r="27" spans="1:11">
      <c r="A27" s="641">
        <v>2</v>
      </c>
      <c r="B27" s="666" t="s">
        <v>388</v>
      </c>
      <c r="C27" s="639">
        <v>78850</v>
      </c>
      <c r="D27" s="639">
        <f>'ngay 27-11'!E42</f>
        <v>82512</v>
      </c>
      <c r="E27" s="639">
        <f t="shared" si="0"/>
        <v>3662</v>
      </c>
      <c r="F27" s="657">
        <f t="shared" si="1"/>
        <v>1.0464426125554851</v>
      </c>
    </row>
    <row r="28" spans="1:11">
      <c r="A28" s="641">
        <v>3</v>
      </c>
      <c r="B28" s="666" t="s">
        <v>389</v>
      </c>
      <c r="C28" s="639">
        <f>4153720+50000+100000</f>
        <v>4303720</v>
      </c>
      <c r="D28" s="639">
        <f>'ngay 27-11'!E50</f>
        <v>4328909</v>
      </c>
      <c r="E28" s="639">
        <f t="shared" si="0"/>
        <v>25189</v>
      </c>
      <c r="F28" s="657">
        <f t="shared" si="1"/>
        <v>1.0058528435864786</v>
      </c>
      <c r="H28" s="669">
        <v>50000</v>
      </c>
      <c r="I28" s="580">
        <v>100000</v>
      </c>
    </row>
    <row r="29" spans="1:11" s="582" customFormat="1" ht="33" hidden="1">
      <c r="A29" s="658"/>
      <c r="B29" s="851" t="s">
        <v>667</v>
      </c>
      <c r="C29" s="688">
        <v>4153720</v>
      </c>
      <c r="D29" s="688">
        <f>D28</f>
        <v>4328909</v>
      </c>
      <c r="E29" s="688">
        <f>D29-C29</f>
        <v>175189</v>
      </c>
      <c r="F29" s="657">
        <f t="shared" si="1"/>
        <v>1.0421764105428386</v>
      </c>
      <c r="H29" s="686"/>
      <c r="J29" s="691">
        <v>4126432</v>
      </c>
      <c r="K29" s="582" t="s">
        <v>404</v>
      </c>
    </row>
    <row r="30" spans="1:11">
      <c r="A30" s="641">
        <v>4</v>
      </c>
      <c r="B30" s="666" t="s">
        <v>60</v>
      </c>
      <c r="C30" s="639">
        <v>1055467</v>
      </c>
      <c r="D30" s="639">
        <f>'ngay 27-11'!E72</f>
        <v>1109456</v>
      </c>
      <c r="E30" s="639">
        <f t="shared" si="0"/>
        <v>53989</v>
      </c>
      <c r="F30" s="657">
        <f t="shared" si="1"/>
        <v>1.0511517650480782</v>
      </c>
    </row>
    <row r="31" spans="1:11">
      <c r="A31" s="641">
        <v>5</v>
      </c>
      <c r="B31" s="666" t="s">
        <v>390</v>
      </c>
      <c r="C31" s="639">
        <v>40290</v>
      </c>
      <c r="D31" s="639">
        <f>'ngay 27-11'!E90</f>
        <v>40290</v>
      </c>
      <c r="E31" s="639">
        <f t="shared" si="0"/>
        <v>0</v>
      </c>
      <c r="F31" s="657">
        <f t="shared" si="1"/>
        <v>1</v>
      </c>
    </row>
    <row r="32" spans="1:11">
      <c r="A32" s="641">
        <v>6</v>
      </c>
      <c r="B32" s="666" t="s">
        <v>391</v>
      </c>
      <c r="C32" s="639">
        <f>184232+50000</f>
        <v>234232</v>
      </c>
      <c r="D32" s="639">
        <f>'ngay 27-11'!E93</f>
        <v>217724</v>
      </c>
      <c r="E32" s="639">
        <f t="shared" si="0"/>
        <v>-16508</v>
      </c>
      <c r="F32" s="657">
        <f t="shared" si="1"/>
        <v>0.92952286621810853</v>
      </c>
      <c r="H32" s="668">
        <v>50000</v>
      </c>
    </row>
    <row r="33" spans="1:12">
      <c r="A33" s="641">
        <v>7</v>
      </c>
      <c r="B33" s="666" t="s">
        <v>392</v>
      </c>
      <c r="C33" s="639">
        <v>48072</v>
      </c>
      <c r="D33" s="639">
        <f>'ngay 27-11'!E104</f>
        <v>48417</v>
      </c>
      <c r="E33" s="639">
        <f t="shared" si="0"/>
        <v>345</v>
      </c>
      <c r="F33" s="657">
        <f t="shared" si="1"/>
        <v>1.0071767348976535</v>
      </c>
    </row>
    <row r="34" spans="1:12">
      <c r="A34" s="641">
        <v>8</v>
      </c>
      <c r="B34" s="666" t="s">
        <v>393</v>
      </c>
      <c r="C34" s="639">
        <v>56983</v>
      </c>
      <c r="D34" s="639">
        <f>'ngay 27-11'!E109</f>
        <v>86851</v>
      </c>
      <c r="E34" s="639">
        <f t="shared" si="0"/>
        <v>29868</v>
      </c>
      <c r="F34" s="657">
        <f t="shared" si="1"/>
        <v>1.5241563273256937</v>
      </c>
    </row>
    <row r="35" spans="1:12">
      <c r="A35" s="641">
        <v>9</v>
      </c>
      <c r="B35" s="666" t="s">
        <v>394</v>
      </c>
      <c r="C35" s="639">
        <f>988158-580+150000</f>
        <v>1137578</v>
      </c>
      <c r="D35" s="639">
        <f>'ngay 27-11'!E118</f>
        <v>1025896</v>
      </c>
      <c r="E35" s="639">
        <f t="shared" si="0"/>
        <v>-111682</v>
      </c>
      <c r="F35" s="657">
        <f t="shared" si="1"/>
        <v>0.90182475399489093</v>
      </c>
      <c r="H35" s="669">
        <v>150000</v>
      </c>
    </row>
    <row r="36" spans="1:12" ht="33" hidden="1">
      <c r="A36" s="641"/>
      <c r="B36" s="666" t="s">
        <v>667</v>
      </c>
      <c r="C36" s="696">
        <v>988158</v>
      </c>
      <c r="D36" s="696">
        <f>D35</f>
        <v>1025896</v>
      </c>
      <c r="E36" s="696">
        <f>D36-C36</f>
        <v>37738</v>
      </c>
      <c r="F36" s="657">
        <f t="shared" si="1"/>
        <v>1.038190248927803</v>
      </c>
      <c r="H36" s="669"/>
    </row>
    <row r="37" spans="1:12">
      <c r="A37" s="641">
        <v>10</v>
      </c>
      <c r="B37" s="666" t="s">
        <v>20</v>
      </c>
      <c r="C37" s="639">
        <f>1809844+11000+331354+17500</f>
        <v>2169698</v>
      </c>
      <c r="D37" s="639">
        <f>'ngay 27-11'!E137+'ngay 27-11'!M215</f>
        <v>2034780</v>
      </c>
      <c r="E37" s="639">
        <f t="shared" si="0"/>
        <v>-134918</v>
      </c>
      <c r="F37" s="657">
        <f t="shared" si="1"/>
        <v>0.93781715243319574</v>
      </c>
      <c r="H37" s="668">
        <v>331000</v>
      </c>
      <c r="I37" s="580">
        <v>17500</v>
      </c>
    </row>
    <row r="38" spans="1:12" s="582" customFormat="1" ht="33" hidden="1">
      <c r="A38" s="658"/>
      <c r="B38" s="851" t="s">
        <v>667</v>
      </c>
      <c r="C38" s="688">
        <v>1809844</v>
      </c>
      <c r="D38" s="688">
        <f>D37</f>
        <v>2034780</v>
      </c>
      <c r="E38" s="688">
        <f>D38-C38</f>
        <v>224936</v>
      </c>
      <c r="F38" s="657">
        <f t="shared" si="1"/>
        <v>1.1242847449835456</v>
      </c>
      <c r="H38" s="687"/>
    </row>
    <row r="39" spans="1:12">
      <c r="A39" s="641">
        <v>11</v>
      </c>
      <c r="B39" s="666" t="s">
        <v>131</v>
      </c>
      <c r="C39" s="639">
        <v>154006</v>
      </c>
      <c r="D39" s="639">
        <f>'ngay 27-11'!E151</f>
        <v>171528</v>
      </c>
      <c r="E39" s="639">
        <f t="shared" si="0"/>
        <v>17522</v>
      </c>
      <c r="F39" s="657">
        <f t="shared" si="1"/>
        <v>1.1137747879952729</v>
      </c>
    </row>
    <row r="40" spans="1:12">
      <c r="A40" s="641">
        <v>12</v>
      </c>
      <c r="B40" s="666" t="s">
        <v>659</v>
      </c>
      <c r="C40" s="639">
        <f>2097557+100000</f>
        <v>2197557</v>
      </c>
      <c r="D40" s="639">
        <f>'ngay 27-11'!E156</f>
        <v>2150852</v>
      </c>
      <c r="E40" s="639">
        <f t="shared" si="0"/>
        <v>-46705</v>
      </c>
      <c r="F40" s="657">
        <f t="shared" si="1"/>
        <v>0.97874685389275451</v>
      </c>
      <c r="H40" s="669">
        <v>100000</v>
      </c>
    </row>
    <row r="41" spans="1:12" s="582" customFormat="1" ht="33" hidden="1">
      <c r="A41" s="658"/>
      <c r="B41" s="851" t="s">
        <v>667</v>
      </c>
      <c r="C41" s="688">
        <v>2097557</v>
      </c>
      <c r="D41" s="688">
        <f>D40</f>
        <v>2150852</v>
      </c>
      <c r="E41" s="688">
        <f>D41-C41</f>
        <v>53295</v>
      </c>
      <c r="F41" s="657">
        <f t="shared" si="1"/>
        <v>1.0254081295526176</v>
      </c>
      <c r="H41" s="686"/>
    </row>
    <row r="42" spans="1:12">
      <c r="A42" s="641">
        <v>13</v>
      </c>
      <c r="B42" s="666" t="s">
        <v>397</v>
      </c>
      <c r="C42" s="639">
        <v>63456</v>
      </c>
      <c r="D42" s="639">
        <f>'ngay 27-11'!E169</f>
        <v>63902</v>
      </c>
      <c r="E42" s="639">
        <f t="shared" si="0"/>
        <v>446</v>
      </c>
      <c r="F42" s="657">
        <f t="shared" si="1"/>
        <v>1.0070284921835602</v>
      </c>
    </row>
    <row r="43" spans="1:12" hidden="1">
      <c r="A43" s="641"/>
      <c r="B43" s="666"/>
      <c r="C43" s="639"/>
      <c r="D43" s="639"/>
      <c r="E43" s="639">
        <f t="shared" ref="E43" si="2">D43-C43</f>
        <v>0</v>
      </c>
      <c r="F43" s="657"/>
    </row>
    <row r="44" spans="1:12" s="584" customFormat="1" ht="33">
      <c r="A44" s="655" t="s">
        <v>196</v>
      </c>
      <c r="B44" s="635" t="s">
        <v>763</v>
      </c>
      <c r="C44" s="636">
        <v>3942</v>
      </c>
      <c r="D44" s="636">
        <v>11901</v>
      </c>
      <c r="E44" s="636">
        <f t="shared" si="0"/>
        <v>7959</v>
      </c>
      <c r="F44" s="656">
        <f t="shared" si="1"/>
        <v>3.0190258751902586</v>
      </c>
    </row>
    <row r="45" spans="1:12" s="584" customFormat="1" ht="33">
      <c r="A45" s="655" t="s">
        <v>197</v>
      </c>
      <c r="B45" s="635" t="s">
        <v>572</v>
      </c>
      <c r="C45" s="636">
        <v>1450</v>
      </c>
      <c r="D45" s="636">
        <v>1450</v>
      </c>
      <c r="E45" s="636">
        <f t="shared" si="0"/>
        <v>0</v>
      </c>
      <c r="F45" s="656">
        <f t="shared" si="1"/>
        <v>1</v>
      </c>
    </row>
    <row r="46" spans="1:12" s="584" customFormat="1">
      <c r="A46" s="655" t="s">
        <v>419</v>
      </c>
      <c r="B46" s="635" t="s">
        <v>552</v>
      </c>
      <c r="C46" s="636">
        <v>507965</v>
      </c>
      <c r="D46" s="636">
        <f>'ngay 27-11'!E175</f>
        <v>512325</v>
      </c>
      <c r="E46" s="636">
        <f t="shared" si="0"/>
        <v>4360</v>
      </c>
      <c r="F46" s="656">
        <f t="shared" si="1"/>
        <v>1.0085832685322809</v>
      </c>
      <c r="L46" s="585">
        <f>L47-D47</f>
        <v>0</v>
      </c>
    </row>
    <row r="47" spans="1:12" s="584" customFormat="1" ht="33">
      <c r="A47" s="655" t="s">
        <v>422</v>
      </c>
      <c r="B47" s="635" t="s">
        <v>694</v>
      </c>
      <c r="C47" s="636">
        <v>3120000</v>
      </c>
      <c r="D47" s="636">
        <f>L47</f>
        <v>3032462</v>
      </c>
      <c r="E47" s="636">
        <f t="shared" si="0"/>
        <v>-87538</v>
      </c>
      <c r="F47" s="656">
        <f t="shared" si="1"/>
        <v>0.97194294871794873</v>
      </c>
      <c r="H47" s="675">
        <v>155403</v>
      </c>
      <c r="I47" s="691">
        <f>3000000-469500</f>
        <v>2530500</v>
      </c>
      <c r="J47" s="675">
        <v>215059</v>
      </c>
      <c r="K47" s="675">
        <v>131500</v>
      </c>
      <c r="L47" s="676">
        <f>H47+I47+J47+K47</f>
        <v>3032462</v>
      </c>
    </row>
    <row r="48" spans="1:12" s="584" customFormat="1" ht="33">
      <c r="A48" s="655" t="s">
        <v>423</v>
      </c>
      <c r="B48" s="635" t="s">
        <v>671</v>
      </c>
      <c r="C48" s="636"/>
      <c r="D48" s="636">
        <f>'ngay 27-11'!E174</f>
        <v>39449</v>
      </c>
      <c r="E48" s="636"/>
      <c r="F48" s="656"/>
      <c r="H48" s="675"/>
      <c r="I48" s="691">
        <f>'ngay 27-11'!V8</f>
        <v>1314825</v>
      </c>
      <c r="J48" s="675"/>
      <c r="K48" s="675"/>
      <c r="L48" s="676"/>
    </row>
    <row r="49" spans="1:11" s="584" customFormat="1" ht="33">
      <c r="A49" s="655" t="s">
        <v>13</v>
      </c>
      <c r="B49" s="635" t="s">
        <v>553</v>
      </c>
      <c r="C49" s="636">
        <f>C50+C57</f>
        <v>1464906</v>
      </c>
      <c r="D49" s="636">
        <f>D50+D57</f>
        <v>2464674</v>
      </c>
      <c r="E49" s="636">
        <f t="shared" si="0"/>
        <v>999768</v>
      </c>
      <c r="F49" s="656">
        <f t="shared" si="1"/>
        <v>1.6824792853602892</v>
      </c>
      <c r="I49" s="585">
        <f>I47+I48</f>
        <v>3845325</v>
      </c>
      <c r="K49" s="584">
        <v>501961</v>
      </c>
    </row>
    <row r="50" spans="1:11" s="584" customFormat="1" ht="33">
      <c r="A50" s="655" t="s">
        <v>17</v>
      </c>
      <c r="B50" s="635" t="s">
        <v>554</v>
      </c>
      <c r="C50" s="636">
        <f>393751+124440</f>
        <v>518191</v>
      </c>
      <c r="D50" s="636">
        <f>D51+D54</f>
        <v>472921</v>
      </c>
      <c r="E50" s="636">
        <f t="shared" si="0"/>
        <v>-45270</v>
      </c>
      <c r="F50" s="656">
        <f t="shared" si="1"/>
        <v>0.91263839009168435</v>
      </c>
      <c r="K50" s="584">
        <f>[3]Sheet3!$D$21</f>
        <v>595060</v>
      </c>
    </row>
    <row r="51" spans="1:11" ht="33">
      <c r="A51" s="641">
        <v>1</v>
      </c>
      <c r="B51" s="638" t="s">
        <v>874</v>
      </c>
      <c r="C51" s="639">
        <f>C52+C53</f>
        <v>296191</v>
      </c>
      <c r="D51" s="639">
        <f>D52+D53</f>
        <v>226021</v>
      </c>
      <c r="E51" s="639">
        <f t="shared" si="0"/>
        <v>-70170</v>
      </c>
      <c r="F51" s="657">
        <f t="shared" si="1"/>
        <v>0.76309205884041043</v>
      </c>
      <c r="H51" s="621">
        <f>D52+D55+D58</f>
        <v>2195131</v>
      </c>
      <c r="K51" s="580">
        <f>K50-K49</f>
        <v>93099</v>
      </c>
    </row>
    <row r="52" spans="1:11" s="582" customFormat="1">
      <c r="A52" s="658"/>
      <c r="B52" s="640" t="s">
        <v>557</v>
      </c>
      <c r="C52" s="659">
        <v>222751</v>
      </c>
      <c r="D52" s="659">
        <v>192854</v>
      </c>
      <c r="E52" s="659">
        <f t="shared" si="0"/>
        <v>-29897</v>
      </c>
      <c r="F52" s="660">
        <f t="shared" si="1"/>
        <v>0.86578286966164009</v>
      </c>
    </row>
    <row r="53" spans="1:11" s="582" customFormat="1">
      <c r="A53" s="658"/>
      <c r="B53" s="640" t="s">
        <v>558</v>
      </c>
      <c r="C53" s="659">
        <v>73440</v>
      </c>
      <c r="D53" s="659">
        <v>33167</v>
      </c>
      <c r="E53" s="659">
        <f t="shared" si="0"/>
        <v>-40273</v>
      </c>
      <c r="F53" s="660">
        <f t="shared" si="1"/>
        <v>0.45162037037037039</v>
      </c>
    </row>
    <row r="54" spans="1:11" ht="33">
      <c r="A54" s="641">
        <v>2</v>
      </c>
      <c r="B54" s="638" t="s">
        <v>875</v>
      </c>
      <c r="C54" s="639">
        <f>C55+C56</f>
        <v>222000</v>
      </c>
      <c r="D54" s="639">
        <f>D55+D56</f>
        <v>246900</v>
      </c>
      <c r="E54" s="639">
        <f t="shared" si="0"/>
        <v>24900</v>
      </c>
      <c r="F54" s="657">
        <f t="shared" si="1"/>
        <v>1.1121621621621622</v>
      </c>
    </row>
    <row r="55" spans="1:11" s="582" customFormat="1">
      <c r="A55" s="658"/>
      <c r="B55" s="640" t="s">
        <v>557</v>
      </c>
      <c r="C55" s="659">
        <v>171000</v>
      </c>
      <c r="D55" s="659">
        <v>177100</v>
      </c>
      <c r="E55" s="659">
        <f t="shared" si="0"/>
        <v>6100</v>
      </c>
      <c r="F55" s="660">
        <f t="shared" si="1"/>
        <v>1.0356725146198831</v>
      </c>
    </row>
    <row r="56" spans="1:11" s="582" customFormat="1">
      <c r="A56" s="658"/>
      <c r="B56" s="640" t="s">
        <v>558</v>
      </c>
      <c r="C56" s="659">
        <v>51000</v>
      </c>
      <c r="D56" s="659">
        <v>69800</v>
      </c>
      <c r="E56" s="659">
        <f t="shared" si="0"/>
        <v>18800</v>
      </c>
      <c r="F56" s="660">
        <f t="shared" si="1"/>
        <v>1.3686274509803922</v>
      </c>
    </row>
    <row r="57" spans="1:11" ht="33">
      <c r="A57" s="655" t="s">
        <v>18</v>
      </c>
      <c r="B57" s="635" t="s">
        <v>555</v>
      </c>
      <c r="C57" s="636">
        <f>C58+C62</f>
        <v>946715</v>
      </c>
      <c r="D57" s="636">
        <f>D58+D62</f>
        <v>1991753</v>
      </c>
      <c r="E57" s="636">
        <f t="shared" si="0"/>
        <v>1045038</v>
      </c>
      <c r="F57" s="656">
        <f t="shared" si="1"/>
        <v>2.1038570213844716</v>
      </c>
    </row>
    <row r="58" spans="1:11">
      <c r="A58" s="641">
        <v>1</v>
      </c>
      <c r="B58" s="638" t="s">
        <v>559</v>
      </c>
      <c r="C58" s="639">
        <f>C59+C60+C61</f>
        <v>894113</v>
      </c>
      <c r="D58" s="639">
        <f>D59+D60+D61</f>
        <v>1825177</v>
      </c>
      <c r="E58" s="639">
        <f t="shared" si="0"/>
        <v>931064</v>
      </c>
      <c r="F58" s="657">
        <f t="shared" si="1"/>
        <v>2.0413269911073879</v>
      </c>
    </row>
    <row r="59" spans="1:11" s="582" customFormat="1">
      <c r="A59" s="658"/>
      <c r="B59" s="640" t="s">
        <v>560</v>
      </c>
      <c r="C59" s="659">
        <v>333673</v>
      </c>
      <c r="D59" s="659">
        <v>489799</v>
      </c>
      <c r="E59" s="639">
        <f t="shared" si="0"/>
        <v>156126</v>
      </c>
      <c r="F59" s="657">
        <f t="shared" si="1"/>
        <v>1.4679012086683669</v>
      </c>
      <c r="H59" s="622">
        <f>D52+D55</f>
        <v>369954</v>
      </c>
    </row>
    <row r="60" spans="1:11" s="582" customFormat="1">
      <c r="A60" s="658"/>
      <c r="B60" s="640" t="s">
        <v>561</v>
      </c>
      <c r="C60" s="659">
        <f>572440-12000</f>
        <v>560440</v>
      </c>
      <c r="D60" s="659">
        <v>972378</v>
      </c>
      <c r="E60" s="639">
        <f t="shared" si="0"/>
        <v>411938</v>
      </c>
      <c r="F60" s="657">
        <f t="shared" si="1"/>
        <v>1.73502605095996</v>
      </c>
    </row>
    <row r="61" spans="1:11" s="582" customFormat="1">
      <c r="A61" s="658"/>
      <c r="B61" s="640" t="s">
        <v>562</v>
      </c>
      <c r="C61" s="659"/>
      <c r="D61" s="659">
        <v>363000</v>
      </c>
      <c r="E61" s="639">
        <f t="shared" si="0"/>
        <v>363000</v>
      </c>
      <c r="F61" s="657"/>
    </row>
    <row r="62" spans="1:11">
      <c r="A62" s="641">
        <v>2</v>
      </c>
      <c r="B62" s="638" t="s">
        <v>563</v>
      </c>
      <c r="C62" s="639">
        <f>40022+580+12000</f>
        <v>52602</v>
      </c>
      <c r="D62" s="639">
        <f>D63+D71+D72</f>
        <v>166576</v>
      </c>
      <c r="E62" s="639">
        <f t="shared" si="0"/>
        <v>113974</v>
      </c>
      <c r="F62" s="657">
        <f t="shared" si="1"/>
        <v>3.16672369871868</v>
      </c>
    </row>
    <row r="63" spans="1:11">
      <c r="A63" s="641" t="s">
        <v>61</v>
      </c>
      <c r="B63" s="638" t="s">
        <v>482</v>
      </c>
      <c r="C63" s="639"/>
      <c r="D63" s="639">
        <f>SUM(D64:D70)</f>
        <v>49988</v>
      </c>
      <c r="E63" s="639">
        <f t="shared" si="0"/>
        <v>49988</v>
      </c>
      <c r="F63" s="657"/>
    </row>
    <row r="64" spans="1:11" s="582" customFormat="1" ht="33">
      <c r="A64" s="658"/>
      <c r="B64" s="640" t="s">
        <v>565</v>
      </c>
      <c r="C64" s="659"/>
      <c r="D64" s="659">
        <v>4535</v>
      </c>
      <c r="E64" s="639">
        <f t="shared" si="0"/>
        <v>4535</v>
      </c>
      <c r="F64" s="657"/>
    </row>
    <row r="65" spans="1:6" s="582" customFormat="1" ht="33">
      <c r="A65" s="658"/>
      <c r="B65" s="640" t="s">
        <v>571</v>
      </c>
      <c r="C65" s="659"/>
      <c r="D65" s="659">
        <v>25000</v>
      </c>
      <c r="E65" s="639">
        <f t="shared" si="0"/>
        <v>25000</v>
      </c>
      <c r="F65" s="657"/>
    </row>
    <row r="66" spans="1:6" s="582" customFormat="1" ht="33">
      <c r="A66" s="658"/>
      <c r="B66" s="640" t="s">
        <v>570</v>
      </c>
      <c r="C66" s="659"/>
      <c r="D66" s="659">
        <v>5782</v>
      </c>
      <c r="E66" s="639">
        <f t="shared" si="0"/>
        <v>5782</v>
      </c>
      <c r="F66" s="657"/>
    </row>
    <row r="67" spans="1:6" s="582" customFormat="1" ht="66">
      <c r="A67" s="658"/>
      <c r="B67" s="640" t="s">
        <v>567</v>
      </c>
      <c r="C67" s="659"/>
      <c r="D67" s="659">
        <v>2000</v>
      </c>
      <c r="E67" s="639">
        <f t="shared" si="0"/>
        <v>2000</v>
      </c>
      <c r="F67" s="657"/>
    </row>
    <row r="68" spans="1:6" s="582" customFormat="1">
      <c r="A68" s="658"/>
      <c r="B68" s="640" t="s">
        <v>568</v>
      </c>
      <c r="C68" s="659"/>
      <c r="D68" s="659">
        <v>1293</v>
      </c>
      <c r="E68" s="639">
        <f t="shared" si="0"/>
        <v>1293</v>
      </c>
      <c r="F68" s="657"/>
    </row>
    <row r="69" spans="1:6" s="582" customFormat="1">
      <c r="A69" s="658"/>
      <c r="B69" s="640" t="s">
        <v>569</v>
      </c>
      <c r="C69" s="659"/>
      <c r="D69" s="659">
        <v>8988</v>
      </c>
      <c r="E69" s="639">
        <f t="shared" si="0"/>
        <v>8988</v>
      </c>
      <c r="F69" s="657"/>
    </row>
    <row r="70" spans="1:6" s="582" customFormat="1" ht="49.5">
      <c r="A70" s="658"/>
      <c r="B70" s="640" t="s">
        <v>566</v>
      </c>
      <c r="C70" s="659"/>
      <c r="D70" s="659">
        <v>2390</v>
      </c>
      <c r="E70" s="639">
        <f t="shared" si="0"/>
        <v>2390</v>
      </c>
      <c r="F70" s="657"/>
    </row>
    <row r="71" spans="1:6">
      <c r="A71" s="641" t="s">
        <v>63</v>
      </c>
      <c r="B71" s="638" t="s">
        <v>564</v>
      </c>
      <c r="C71" s="639"/>
      <c r="D71" s="639">
        <v>37098</v>
      </c>
      <c r="E71" s="639">
        <f t="shared" si="0"/>
        <v>37098</v>
      </c>
      <c r="F71" s="657"/>
    </row>
    <row r="72" spans="1:6">
      <c r="A72" s="641" t="s">
        <v>64</v>
      </c>
      <c r="B72" s="638" t="s">
        <v>560</v>
      </c>
      <c r="C72" s="639"/>
      <c r="D72" s="639">
        <v>79490</v>
      </c>
      <c r="E72" s="639">
        <f t="shared" si="0"/>
        <v>79490</v>
      </c>
      <c r="F72" s="656"/>
    </row>
    <row r="73" spans="1:6" ht="33">
      <c r="A73" s="753" t="s">
        <v>273</v>
      </c>
      <c r="B73" s="852" t="s">
        <v>556</v>
      </c>
      <c r="C73" s="754"/>
      <c r="D73" s="754"/>
      <c r="E73" s="755">
        <f t="shared" si="0"/>
        <v>0</v>
      </c>
      <c r="F73" s="756"/>
    </row>
    <row r="74" spans="1:6" ht="17.25">
      <c r="A74" s="1069"/>
      <c r="B74" s="1069"/>
      <c r="C74" s="1069"/>
      <c r="D74" s="1069"/>
      <c r="E74" s="1069"/>
      <c r="F74" s="1069"/>
    </row>
    <row r="75" spans="1:6">
      <c r="A75" s="1011"/>
      <c r="B75" s="1011"/>
      <c r="C75" s="1011"/>
      <c r="D75" s="1011"/>
      <c r="E75" s="1011"/>
      <c r="F75" s="1011"/>
    </row>
  </sheetData>
  <mergeCells count="11">
    <mergeCell ref="A1:F1"/>
    <mergeCell ref="A74:F74"/>
    <mergeCell ref="A75:F75"/>
    <mergeCell ref="A2:F2"/>
    <mergeCell ref="A3:F3"/>
    <mergeCell ref="A4:F4"/>
    <mergeCell ref="A5:A6"/>
    <mergeCell ref="B5:B6"/>
    <mergeCell ref="C5:C6"/>
    <mergeCell ref="D5:D6"/>
    <mergeCell ref="E5:F5"/>
  </mergeCells>
  <pageMargins left="0.31496062992125984" right="0" top="0.74803149606299213" bottom="0.55118110236220474" header="0.31496062992125984" footer="0.31496062992125984"/>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showZeros="0" topLeftCell="A4" workbookViewId="0">
      <pane xSplit="3" ySplit="3" topLeftCell="D5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2"/>
  <cols>
    <col min="1" max="1" width="4.28515625" style="807" customWidth="1"/>
    <col min="2" max="2" width="27.5703125" style="807" customWidth="1"/>
    <col min="3" max="3" width="10.28515625" style="807" hidden="1" customWidth="1"/>
    <col min="4" max="17" width="9.140625" style="807"/>
    <col min="18" max="18" width="9.42578125" style="807" customWidth="1"/>
    <col min="19" max="20" width="9.140625" style="807"/>
    <col min="21" max="21" width="9.140625" style="808"/>
    <col min="22" max="16384" width="9.140625" style="807"/>
  </cols>
  <sheetData>
    <row r="1" spans="1:21" s="810" customFormat="1" ht="16.5">
      <c r="A1" s="1047" t="s">
        <v>784</v>
      </c>
      <c r="B1" s="1047"/>
      <c r="C1" s="1047"/>
      <c r="D1" s="1047"/>
      <c r="E1" s="1047"/>
      <c r="F1" s="1047"/>
      <c r="G1" s="1047"/>
      <c r="H1" s="1047"/>
      <c r="I1" s="1047"/>
      <c r="J1" s="1047"/>
      <c r="K1" s="1047"/>
      <c r="L1" s="1047"/>
      <c r="M1" s="1047"/>
      <c r="N1" s="1047"/>
      <c r="O1" s="1047"/>
      <c r="P1" s="1047"/>
      <c r="Q1" s="1047"/>
      <c r="R1" s="1047"/>
      <c r="S1" s="1047"/>
      <c r="T1" s="1047"/>
      <c r="U1" s="809"/>
    </row>
    <row r="2" spans="1:21" s="810" customFormat="1" ht="16.5">
      <c r="A2" s="1048" t="s">
        <v>886</v>
      </c>
      <c r="B2" s="1048"/>
      <c r="C2" s="1048"/>
      <c r="D2" s="1048"/>
      <c r="E2" s="1048"/>
      <c r="F2" s="1048"/>
      <c r="G2" s="1048"/>
      <c r="H2" s="1048"/>
      <c r="I2" s="1048"/>
      <c r="J2" s="1048"/>
      <c r="K2" s="1048"/>
      <c r="L2" s="1048"/>
      <c r="M2" s="1048"/>
      <c r="N2" s="1048"/>
      <c r="O2" s="1048"/>
      <c r="P2" s="1048"/>
      <c r="Q2" s="1048"/>
      <c r="R2" s="1048"/>
      <c r="S2" s="1048"/>
      <c r="T2" s="1048"/>
      <c r="U2" s="809"/>
    </row>
    <row r="3" spans="1:21" ht="19.5" customHeight="1">
      <c r="Q3" s="1049" t="s">
        <v>885</v>
      </c>
      <c r="R3" s="1049"/>
      <c r="S3" s="1049"/>
      <c r="T3" s="858"/>
    </row>
    <row r="4" spans="1:21" ht="21" customHeight="1">
      <c r="A4" s="1045" t="s">
        <v>378</v>
      </c>
      <c r="B4" s="1045" t="s">
        <v>785</v>
      </c>
      <c r="C4" s="1045" t="s">
        <v>786</v>
      </c>
      <c r="D4" s="1045" t="s">
        <v>787</v>
      </c>
      <c r="E4" s="1072" t="s">
        <v>471</v>
      </c>
      <c r="F4" s="1073"/>
      <c r="G4" s="1073"/>
      <c r="H4" s="1073"/>
      <c r="I4" s="1073"/>
      <c r="J4" s="1073"/>
      <c r="K4" s="1073"/>
      <c r="L4" s="1073"/>
      <c r="M4" s="1073"/>
      <c r="N4" s="1073"/>
      <c r="O4" s="1073"/>
      <c r="P4" s="1073"/>
      <c r="Q4" s="1073"/>
      <c r="R4" s="1073"/>
      <c r="S4" s="1073"/>
      <c r="T4" s="850"/>
    </row>
    <row r="5" spans="1:21" ht="35.25" customHeight="1">
      <c r="A5" s="1045"/>
      <c r="B5" s="1045"/>
      <c r="C5" s="1045"/>
      <c r="D5" s="1045"/>
      <c r="E5" s="1045" t="s">
        <v>788</v>
      </c>
      <c r="F5" s="1045" t="s">
        <v>545</v>
      </c>
      <c r="G5" s="1045"/>
      <c r="H5" s="1045"/>
      <c r="I5" s="1046" t="s">
        <v>599</v>
      </c>
      <c r="J5" s="1045" t="s">
        <v>789</v>
      </c>
      <c r="K5" s="1045" t="s">
        <v>790</v>
      </c>
      <c r="L5" s="1045" t="s">
        <v>606</v>
      </c>
      <c r="M5" s="1045" t="s">
        <v>604</v>
      </c>
      <c r="N5" s="1045" t="s">
        <v>603</v>
      </c>
      <c r="O5" s="1045" t="s">
        <v>110</v>
      </c>
      <c r="P5" s="1045" t="s">
        <v>598</v>
      </c>
      <c r="Q5" s="1045" t="s">
        <v>791</v>
      </c>
      <c r="R5" s="1045" t="s">
        <v>792</v>
      </c>
      <c r="S5" s="1045" t="s">
        <v>793</v>
      </c>
      <c r="T5" s="1045" t="s">
        <v>794</v>
      </c>
    </row>
    <row r="6" spans="1:21" ht="126.75" customHeight="1">
      <c r="A6" s="1045"/>
      <c r="B6" s="1045"/>
      <c r="C6" s="1045"/>
      <c r="D6" s="1045"/>
      <c r="E6" s="1045"/>
      <c r="F6" s="811" t="s">
        <v>795</v>
      </c>
      <c r="G6" s="811" t="s">
        <v>717</v>
      </c>
      <c r="H6" s="811" t="s">
        <v>796</v>
      </c>
      <c r="I6" s="1046"/>
      <c r="J6" s="1045"/>
      <c r="K6" s="1045"/>
      <c r="L6" s="1045"/>
      <c r="M6" s="1045"/>
      <c r="N6" s="1045"/>
      <c r="O6" s="1045"/>
      <c r="P6" s="1045"/>
      <c r="Q6" s="1045"/>
      <c r="R6" s="1045"/>
      <c r="S6" s="1045"/>
      <c r="T6" s="1045"/>
    </row>
    <row r="7" spans="1:21" s="817" customFormat="1" ht="15.75" customHeight="1">
      <c r="A7" s="812"/>
      <c r="B7" s="813" t="s">
        <v>405</v>
      </c>
      <c r="C7" s="814" t="e">
        <f t="shared" ref="C7:T7" si="0">C8+C81</f>
        <v>#REF!</v>
      </c>
      <c r="D7" s="815">
        <f>D8+D81</f>
        <v>3628215.2491726973</v>
      </c>
      <c r="E7" s="815">
        <f>E8+E81</f>
        <v>610678.98940000008</v>
      </c>
      <c r="F7" s="815">
        <f>F8+F81</f>
        <v>765497.9639443903</v>
      </c>
      <c r="G7" s="815">
        <f>G8+G81</f>
        <v>217166.65599999999</v>
      </c>
      <c r="H7" s="815">
        <f>H8+H81</f>
        <v>982664.61994439026</v>
      </c>
      <c r="I7" s="815">
        <f t="shared" ref="I7:J7" si="1">I8+I81</f>
        <v>958949.29119999998</v>
      </c>
      <c r="J7" s="815">
        <f t="shared" si="1"/>
        <v>32650</v>
      </c>
      <c r="K7" s="815">
        <f t="shared" si="0"/>
        <v>168674.9936923077</v>
      </c>
      <c r="L7" s="815">
        <f t="shared" si="0"/>
        <v>137078.32800000001</v>
      </c>
      <c r="M7" s="815">
        <f t="shared" si="0"/>
        <v>467204.31493599998</v>
      </c>
      <c r="N7" s="815">
        <f t="shared" si="0"/>
        <v>54610.584000000003</v>
      </c>
      <c r="O7" s="815">
        <f t="shared" si="0"/>
        <v>53753</v>
      </c>
      <c r="P7" s="815">
        <f t="shared" si="0"/>
        <v>15349</v>
      </c>
      <c r="Q7" s="815">
        <f t="shared" si="0"/>
        <v>80000</v>
      </c>
      <c r="R7" s="815">
        <f t="shared" si="0"/>
        <v>16839.127999999997</v>
      </c>
      <c r="S7" s="815">
        <f t="shared" si="0"/>
        <v>49763</v>
      </c>
      <c r="T7" s="815">
        <f t="shared" si="0"/>
        <v>0</v>
      </c>
      <c r="U7" s="816"/>
    </row>
    <row r="8" spans="1:21" s="817" customFormat="1" ht="31.5" hidden="1">
      <c r="A8" s="818" t="s">
        <v>17</v>
      </c>
      <c r="B8" s="819" t="s">
        <v>797</v>
      </c>
      <c r="C8" s="820" t="e">
        <f>SUM(C9:C80)</f>
        <v>#REF!</v>
      </c>
      <c r="D8" s="821">
        <f>SUM(D9:D43)+SUM(D77:D80)</f>
        <v>2959493.1211726973</v>
      </c>
      <c r="E8" s="821">
        <f>SUM(E9:E43)+SUM(E77:E80)</f>
        <v>610678.98940000008</v>
      </c>
      <c r="F8" s="821">
        <f>SUM(F9:F43)+SUM(F77:F80)</f>
        <v>765497.9639443903</v>
      </c>
      <c r="G8" s="821">
        <f t="shared" ref="G8:T8" si="2">SUM(G9:G43)+SUM(G77:G80)</f>
        <v>208049.65599999999</v>
      </c>
      <c r="H8" s="821">
        <f>SUM(H9:H43)+SUM(H77:H80)</f>
        <v>973547.61994439026</v>
      </c>
      <c r="I8" s="821">
        <f>SUM(I9:I43)+SUM(I77:I80)</f>
        <v>507615.29119999998</v>
      </c>
      <c r="J8" s="821">
        <f t="shared" si="2"/>
        <v>32650</v>
      </c>
      <c r="K8" s="821">
        <f t="shared" si="2"/>
        <v>168354.9936923077</v>
      </c>
      <c r="L8" s="821">
        <f t="shared" si="2"/>
        <v>136578.32800000001</v>
      </c>
      <c r="M8" s="821">
        <f t="shared" si="2"/>
        <v>419173.31493599998</v>
      </c>
      <c r="N8" s="821">
        <f t="shared" si="2"/>
        <v>54210.584000000003</v>
      </c>
      <c r="O8" s="821">
        <f t="shared" si="2"/>
        <v>6257</v>
      </c>
      <c r="P8" s="821">
        <f t="shared" si="2"/>
        <v>1249</v>
      </c>
      <c r="Q8" s="821">
        <f t="shared" si="2"/>
        <v>0</v>
      </c>
      <c r="R8" s="821">
        <f t="shared" si="2"/>
        <v>0</v>
      </c>
      <c r="S8" s="821">
        <f t="shared" si="2"/>
        <v>49178</v>
      </c>
      <c r="T8" s="821">
        <f t="shared" si="2"/>
        <v>0</v>
      </c>
      <c r="U8" s="816"/>
    </row>
    <row r="9" spans="1:21" s="827" customFormat="1" ht="15.75">
      <c r="A9" s="822">
        <v>1</v>
      </c>
      <c r="B9" s="823" t="s">
        <v>798</v>
      </c>
      <c r="C9" s="824"/>
      <c r="D9" s="821">
        <f>SUM(E9:T9)-H9</f>
        <v>15404.851200000001</v>
      </c>
      <c r="E9" s="825">
        <v>15378.851200000001</v>
      </c>
      <c r="F9" s="825"/>
      <c r="G9" s="825"/>
      <c r="H9" s="825">
        <f>F9+G9</f>
        <v>0</v>
      </c>
      <c r="I9" s="825"/>
      <c r="J9" s="825"/>
      <c r="K9" s="825"/>
      <c r="L9" s="825"/>
      <c r="M9" s="825"/>
      <c r="N9" s="825"/>
      <c r="O9" s="825">
        <v>26</v>
      </c>
      <c r="P9" s="825"/>
      <c r="Q9" s="825"/>
      <c r="R9" s="825"/>
      <c r="S9" s="825"/>
      <c r="T9" s="825"/>
      <c r="U9" s="826"/>
    </row>
    <row r="10" spans="1:21" s="827" customFormat="1" ht="15.75">
      <c r="A10" s="822">
        <v>2</v>
      </c>
      <c r="B10" s="823" t="s">
        <v>799</v>
      </c>
      <c r="C10" s="828"/>
      <c r="D10" s="821">
        <f t="shared" ref="D10:D80" si="3">SUM(E10:T10)-H10</f>
        <v>26140.394199999999</v>
      </c>
      <c r="E10" s="825">
        <v>23050.194199999998</v>
      </c>
      <c r="F10" s="825"/>
      <c r="G10" s="825"/>
      <c r="H10" s="825">
        <f t="shared" ref="H10:H73" si="4">F10+G10</f>
        <v>0</v>
      </c>
      <c r="I10" s="825"/>
      <c r="J10" s="825"/>
      <c r="K10" s="825"/>
      <c r="L10" s="825"/>
      <c r="M10" s="825">
        <v>1064.2</v>
      </c>
      <c r="N10" s="825">
        <v>2000</v>
      </c>
      <c r="O10" s="825">
        <v>26</v>
      </c>
      <c r="P10" s="825"/>
      <c r="Q10" s="825"/>
      <c r="R10" s="825"/>
      <c r="S10" s="825"/>
      <c r="T10" s="825"/>
      <c r="U10" s="826"/>
    </row>
    <row r="11" spans="1:21" s="827" customFormat="1" ht="15.75">
      <c r="A11" s="822">
        <v>3</v>
      </c>
      <c r="B11" s="823" t="s">
        <v>800</v>
      </c>
      <c r="C11" s="828"/>
      <c r="D11" s="821">
        <f t="shared" si="3"/>
        <v>96913.002692307709</v>
      </c>
      <c r="E11" s="825">
        <v>77691.795000000013</v>
      </c>
      <c r="F11" s="825"/>
      <c r="G11" s="825"/>
      <c r="H11" s="825">
        <f t="shared" si="4"/>
        <v>0</v>
      </c>
      <c r="I11" s="825"/>
      <c r="J11" s="825"/>
      <c r="K11" s="825">
        <v>19195.207692307693</v>
      </c>
      <c r="L11" s="825"/>
      <c r="M11" s="825"/>
      <c r="N11" s="825"/>
      <c r="O11" s="825">
        <v>26</v>
      </c>
      <c r="P11" s="825"/>
      <c r="Q11" s="825"/>
      <c r="R11" s="825"/>
      <c r="S11" s="825"/>
      <c r="T11" s="825"/>
      <c r="U11" s="826"/>
    </row>
    <row r="12" spans="1:21" s="827" customFormat="1" ht="31.5">
      <c r="A12" s="822">
        <v>4</v>
      </c>
      <c r="B12" s="823" t="s">
        <v>801</v>
      </c>
      <c r="C12" s="828">
        <f>[2]HC!J29</f>
        <v>12589</v>
      </c>
      <c r="D12" s="821">
        <f t="shared" si="3"/>
        <v>187972.25880000001</v>
      </c>
      <c r="E12" s="825">
        <v>92620.574800000002</v>
      </c>
      <c r="F12" s="825"/>
      <c r="G12" s="825"/>
      <c r="H12" s="825">
        <f t="shared" si="4"/>
        <v>0</v>
      </c>
      <c r="I12" s="825"/>
      <c r="J12" s="825">
        <v>710</v>
      </c>
      <c r="K12" s="825"/>
      <c r="L12" s="825"/>
      <c r="M12" s="825">
        <v>67086.684000000008</v>
      </c>
      <c r="N12" s="825">
        <v>500</v>
      </c>
      <c r="O12" s="825">
        <v>55</v>
      </c>
      <c r="P12" s="825"/>
      <c r="Q12" s="825"/>
      <c r="R12" s="825"/>
      <c r="S12" s="825">
        <v>27000</v>
      </c>
      <c r="T12" s="825"/>
      <c r="U12" s="826"/>
    </row>
    <row r="13" spans="1:21" s="827" customFormat="1" ht="31.5">
      <c r="A13" s="822">
        <v>5</v>
      </c>
      <c r="B13" s="823" t="s">
        <v>802</v>
      </c>
      <c r="C13" s="828">
        <f>[2]HC!J42</f>
        <v>140</v>
      </c>
      <c r="D13" s="821">
        <f t="shared" si="3"/>
        <v>108131.96699999998</v>
      </c>
      <c r="E13" s="825">
        <v>11238.668</v>
      </c>
      <c r="F13" s="825">
        <v>143</v>
      </c>
      <c r="G13" s="825">
        <v>30942.686999999998</v>
      </c>
      <c r="H13" s="825">
        <f t="shared" si="4"/>
        <v>31085.686999999998</v>
      </c>
      <c r="I13" s="825"/>
      <c r="J13" s="825"/>
      <c r="K13" s="825"/>
      <c r="L13" s="825">
        <f>55951.612-500</f>
        <v>55451.612000000001</v>
      </c>
      <c r="M13" s="825"/>
      <c r="N13" s="825"/>
      <c r="O13" s="825">
        <v>39</v>
      </c>
      <c r="P13" s="825"/>
      <c r="Q13" s="825"/>
      <c r="R13" s="825"/>
      <c r="S13" s="825">
        <v>10317</v>
      </c>
      <c r="T13" s="825"/>
      <c r="U13" s="826"/>
    </row>
    <row r="14" spans="1:21" s="827" customFormat="1" ht="31.5">
      <c r="A14" s="822">
        <v>6</v>
      </c>
      <c r="B14" s="823" t="s">
        <v>803</v>
      </c>
      <c r="C14" s="828">
        <f>[2]HC!J77</f>
        <v>28</v>
      </c>
      <c r="D14" s="821">
        <f t="shared" si="3"/>
        <v>15292.0834</v>
      </c>
      <c r="E14" s="825">
        <v>9491.9697999999989</v>
      </c>
      <c r="F14" s="825"/>
      <c r="G14" s="825">
        <v>250</v>
      </c>
      <c r="H14" s="825">
        <f t="shared" si="4"/>
        <v>250</v>
      </c>
      <c r="I14" s="825"/>
      <c r="J14" s="825"/>
      <c r="K14" s="825"/>
      <c r="L14" s="825"/>
      <c r="M14" s="825">
        <v>4865.1135999999997</v>
      </c>
      <c r="N14" s="825">
        <v>685</v>
      </c>
      <c r="O14" s="825"/>
      <c r="P14" s="825"/>
      <c r="Q14" s="825"/>
      <c r="R14" s="825"/>
      <c r="S14" s="825"/>
      <c r="T14" s="825"/>
      <c r="U14" s="826"/>
    </row>
    <row r="15" spans="1:21" s="827" customFormat="1" ht="15.75">
      <c r="A15" s="822">
        <v>7</v>
      </c>
      <c r="B15" s="823" t="s">
        <v>804</v>
      </c>
      <c r="C15" s="828">
        <f>[2]HC!J68</f>
        <v>670</v>
      </c>
      <c r="D15" s="821">
        <f t="shared" si="3"/>
        <v>9196.0347359999996</v>
      </c>
      <c r="E15" s="825">
        <v>8459.6005999999998</v>
      </c>
      <c r="F15" s="825"/>
      <c r="G15" s="825"/>
      <c r="H15" s="825">
        <f t="shared" si="4"/>
        <v>0</v>
      </c>
      <c r="I15" s="825"/>
      <c r="J15" s="825"/>
      <c r="K15" s="825"/>
      <c r="L15" s="825"/>
      <c r="M15" s="825">
        <v>697.43413599999997</v>
      </c>
      <c r="N15" s="825"/>
      <c r="O15" s="825">
        <v>39</v>
      </c>
      <c r="P15" s="825"/>
      <c r="Q15" s="825"/>
      <c r="R15" s="825"/>
      <c r="S15" s="825"/>
      <c r="T15" s="825"/>
      <c r="U15" s="826"/>
    </row>
    <row r="16" spans="1:21" s="827" customFormat="1" ht="15.75">
      <c r="A16" s="822">
        <v>8</v>
      </c>
      <c r="B16" s="823" t="s">
        <v>805</v>
      </c>
      <c r="C16" s="828">
        <f>[2]HC!J50</f>
        <v>6617</v>
      </c>
      <c r="D16" s="821">
        <f t="shared" si="3"/>
        <v>64569.519</v>
      </c>
      <c r="E16" s="825">
        <v>9861.1810000000005</v>
      </c>
      <c r="F16" s="825"/>
      <c r="G16" s="825"/>
      <c r="H16" s="825">
        <f t="shared" si="4"/>
        <v>0</v>
      </c>
      <c r="I16" s="825"/>
      <c r="J16" s="825"/>
      <c r="K16" s="825"/>
      <c r="L16" s="825"/>
      <c r="M16" s="825">
        <v>30893.753999999997</v>
      </c>
      <c r="N16" s="825">
        <v>23775.583999999999</v>
      </c>
      <c r="O16" s="825">
        <v>39</v>
      </c>
      <c r="P16" s="825"/>
      <c r="Q16" s="825"/>
      <c r="R16" s="825"/>
      <c r="S16" s="825"/>
      <c r="T16" s="825"/>
      <c r="U16" s="826"/>
    </row>
    <row r="17" spans="1:21" s="827" customFormat="1" ht="15.75">
      <c r="A17" s="822">
        <v>9</v>
      </c>
      <c r="B17" s="823" t="s">
        <v>806</v>
      </c>
      <c r="C17" s="828">
        <f>[2]HC!J55+[2]YT!O6</f>
        <v>600</v>
      </c>
      <c r="D17" s="821">
        <f t="shared" si="3"/>
        <v>536938.04960000003</v>
      </c>
      <c r="E17" s="825">
        <v>11295.758400000001</v>
      </c>
      <c r="F17" s="825"/>
      <c r="G17" s="825"/>
      <c r="H17" s="825">
        <f t="shared" si="4"/>
        <v>0</v>
      </c>
      <c r="I17" s="825">
        <f>526615.2912-19000</f>
        <v>507615.29119999998</v>
      </c>
      <c r="J17" s="825"/>
      <c r="K17" s="825"/>
      <c r="L17" s="825"/>
      <c r="M17" s="825"/>
      <c r="N17" s="825">
        <v>9000</v>
      </c>
      <c r="O17" s="825">
        <v>39</v>
      </c>
      <c r="P17" s="825"/>
      <c r="Q17" s="825"/>
      <c r="R17" s="825"/>
      <c r="S17" s="825">
        <v>8988</v>
      </c>
      <c r="T17" s="825"/>
      <c r="U17" s="826"/>
    </row>
    <row r="18" spans="1:21" s="827" customFormat="1" ht="15.75">
      <c r="A18" s="822">
        <v>10</v>
      </c>
      <c r="B18" s="823" t="s">
        <v>807</v>
      </c>
      <c r="C18" s="828"/>
      <c r="D18" s="821">
        <f t="shared" si="3"/>
        <v>10473.125200000002</v>
      </c>
      <c r="E18" s="825">
        <v>6343.9372000000003</v>
      </c>
      <c r="F18" s="825"/>
      <c r="G18" s="825">
        <v>1348.3</v>
      </c>
      <c r="H18" s="825">
        <f t="shared" si="4"/>
        <v>1348.3</v>
      </c>
      <c r="I18" s="825"/>
      <c r="J18" s="825">
        <v>210</v>
      </c>
      <c r="K18" s="825"/>
      <c r="L18" s="825"/>
      <c r="M18" s="825">
        <v>2570.8879999999999</v>
      </c>
      <c r="N18" s="825"/>
      <c r="O18" s="825"/>
      <c r="P18" s="825"/>
      <c r="Q18" s="825"/>
      <c r="R18" s="825"/>
      <c r="S18" s="825"/>
      <c r="T18" s="825"/>
      <c r="U18" s="826"/>
    </row>
    <row r="19" spans="1:21" s="827" customFormat="1" ht="15.75">
      <c r="A19" s="822">
        <v>11</v>
      </c>
      <c r="B19" s="823" t="s">
        <v>808</v>
      </c>
      <c r="C19" s="828">
        <f>[2]HC!J62</f>
        <v>7000</v>
      </c>
      <c r="D19" s="821">
        <f t="shared" si="3"/>
        <v>21307.834199999998</v>
      </c>
      <c r="E19" s="825">
        <v>11733.9722</v>
      </c>
      <c r="F19" s="825"/>
      <c r="G19" s="825"/>
      <c r="H19" s="825">
        <f t="shared" si="4"/>
        <v>0</v>
      </c>
      <c r="I19" s="825"/>
      <c r="J19" s="825"/>
      <c r="K19" s="825"/>
      <c r="L19" s="825"/>
      <c r="M19" s="825">
        <v>9547.8619999999992</v>
      </c>
      <c r="N19" s="825"/>
      <c r="O19" s="825">
        <v>26</v>
      </c>
      <c r="P19" s="825"/>
      <c r="Q19" s="825"/>
      <c r="R19" s="825"/>
      <c r="S19" s="825"/>
      <c r="T19" s="825"/>
      <c r="U19" s="826"/>
    </row>
    <row r="20" spans="1:21" s="827" customFormat="1" ht="15.75">
      <c r="A20" s="822">
        <v>12</v>
      </c>
      <c r="B20" s="823" t="s">
        <v>809</v>
      </c>
      <c r="C20" s="828"/>
      <c r="D20" s="821">
        <f t="shared" si="3"/>
        <v>532969.94174439029</v>
      </c>
      <c r="E20" s="825">
        <v>7278.9777999999997</v>
      </c>
      <c r="F20" s="825">
        <v>525664.9639443903</v>
      </c>
      <c r="G20" s="825"/>
      <c r="H20" s="825">
        <f t="shared" si="4"/>
        <v>525664.9639443903</v>
      </c>
      <c r="I20" s="825"/>
      <c r="J20" s="825"/>
      <c r="K20" s="825"/>
      <c r="L20" s="825"/>
      <c r="M20" s="825"/>
      <c r="N20" s="825"/>
      <c r="O20" s="825">
        <v>26</v>
      </c>
      <c r="P20" s="825"/>
      <c r="Q20" s="825"/>
      <c r="R20" s="825"/>
      <c r="S20" s="825"/>
      <c r="T20" s="825"/>
      <c r="U20" s="826"/>
    </row>
    <row r="21" spans="1:21" s="827" customFormat="1" ht="16.5" customHeight="1">
      <c r="A21" s="822">
        <v>13</v>
      </c>
      <c r="B21" s="823" t="s">
        <v>810</v>
      </c>
      <c r="C21" s="828"/>
      <c r="D21" s="821">
        <f t="shared" si="3"/>
        <v>28190.858600000003</v>
      </c>
      <c r="E21" s="825">
        <v>24952.620600000002</v>
      </c>
      <c r="F21" s="825"/>
      <c r="G21" s="825">
        <v>2200</v>
      </c>
      <c r="H21" s="825">
        <f t="shared" si="4"/>
        <v>2200</v>
      </c>
      <c r="I21" s="825"/>
      <c r="J21" s="825"/>
      <c r="K21" s="825"/>
      <c r="L21" s="825"/>
      <c r="M21" s="825">
        <v>1012.2380000000001</v>
      </c>
      <c r="N21" s="825"/>
      <c r="O21" s="825">
        <v>26</v>
      </c>
      <c r="P21" s="825"/>
      <c r="Q21" s="825"/>
      <c r="R21" s="825"/>
      <c r="S21" s="825"/>
      <c r="T21" s="825"/>
      <c r="U21" s="826"/>
    </row>
    <row r="22" spans="1:21" s="827" customFormat="1" ht="16.5" customHeight="1">
      <c r="A22" s="822">
        <v>14</v>
      </c>
      <c r="B22" s="823" t="s">
        <v>811</v>
      </c>
      <c r="C22" s="828">
        <f>[2]HC!J65</f>
        <v>62</v>
      </c>
      <c r="D22" s="821">
        <f t="shared" si="3"/>
        <v>37210.638200000001</v>
      </c>
      <c r="E22" s="825">
        <v>6134.6382000000012</v>
      </c>
      <c r="F22" s="825"/>
      <c r="G22" s="825"/>
      <c r="H22" s="825">
        <f t="shared" si="4"/>
        <v>0</v>
      </c>
      <c r="I22" s="825"/>
      <c r="J22" s="825">
        <v>31050</v>
      </c>
      <c r="K22" s="825"/>
      <c r="L22" s="825"/>
      <c r="M22" s="825"/>
      <c r="N22" s="825"/>
      <c r="O22" s="825">
        <v>26</v>
      </c>
      <c r="P22" s="825"/>
      <c r="Q22" s="825"/>
      <c r="R22" s="825"/>
      <c r="S22" s="825"/>
      <c r="T22" s="825"/>
      <c r="U22" s="826"/>
    </row>
    <row r="23" spans="1:21" s="827" customFormat="1" ht="15.75">
      <c r="A23" s="822">
        <v>15</v>
      </c>
      <c r="B23" s="823" t="s">
        <v>812</v>
      </c>
      <c r="C23" s="828">
        <f>[2]HC!J46</f>
        <v>4925</v>
      </c>
      <c r="D23" s="821">
        <f t="shared" si="3"/>
        <v>42053.233200000002</v>
      </c>
      <c r="E23" s="825">
        <v>28290.131200000003</v>
      </c>
      <c r="F23" s="825"/>
      <c r="G23" s="825"/>
      <c r="H23" s="825">
        <f t="shared" si="4"/>
        <v>0</v>
      </c>
      <c r="I23" s="825"/>
      <c r="J23" s="825"/>
      <c r="K23" s="825">
        <v>100</v>
      </c>
      <c r="L23" s="825"/>
      <c r="M23" s="825">
        <v>13474.101999999999</v>
      </c>
      <c r="N23" s="825">
        <v>150</v>
      </c>
      <c r="O23" s="825">
        <v>39</v>
      </c>
      <c r="P23" s="825"/>
      <c r="Q23" s="825"/>
      <c r="R23" s="825"/>
      <c r="S23" s="825"/>
      <c r="T23" s="825"/>
      <c r="U23" s="826"/>
    </row>
    <row r="24" spans="1:21" s="827" customFormat="1" ht="15.75">
      <c r="A24" s="822">
        <v>16</v>
      </c>
      <c r="B24" s="823" t="s">
        <v>813</v>
      </c>
      <c r="C24" s="828"/>
      <c r="D24" s="821">
        <f t="shared" si="3"/>
        <v>15225.4084</v>
      </c>
      <c r="E24" s="825">
        <v>13899.4084</v>
      </c>
      <c r="F24" s="825"/>
      <c r="G24" s="825">
        <v>1000</v>
      </c>
      <c r="H24" s="825">
        <f t="shared" si="4"/>
        <v>1000</v>
      </c>
      <c r="I24" s="825"/>
      <c r="J24" s="825"/>
      <c r="K24" s="825">
        <v>300</v>
      </c>
      <c r="L24" s="825"/>
      <c r="M24" s="825"/>
      <c r="N24" s="825"/>
      <c r="O24" s="825">
        <v>26</v>
      </c>
      <c r="P24" s="825"/>
      <c r="Q24" s="825"/>
      <c r="R24" s="825"/>
      <c r="S24" s="825"/>
      <c r="T24" s="825"/>
      <c r="U24" s="826"/>
    </row>
    <row r="25" spans="1:21" s="827" customFormat="1" ht="31.5">
      <c r="A25" s="822">
        <v>17</v>
      </c>
      <c r="B25" s="823" t="s">
        <v>814</v>
      </c>
      <c r="C25" s="828">
        <f>[2]HC!J80</f>
        <v>450</v>
      </c>
      <c r="D25" s="821">
        <f>SUM(E25:T25)-H25</f>
        <v>106633.0572</v>
      </c>
      <c r="E25" s="825">
        <v>11478.0272</v>
      </c>
      <c r="F25" s="825"/>
      <c r="G25" s="825">
        <v>16453.351999999999</v>
      </c>
      <c r="H25" s="825">
        <f t="shared" si="4"/>
        <v>16453.351999999999</v>
      </c>
      <c r="I25" s="825"/>
      <c r="J25" s="825"/>
      <c r="K25" s="825">
        <v>68065.203999999998</v>
      </c>
      <c r="L25" s="825"/>
      <c r="M25" s="825">
        <v>5704.4740000000002</v>
      </c>
      <c r="N25" s="825">
        <v>3000</v>
      </c>
      <c r="O25" s="825">
        <v>39</v>
      </c>
      <c r="P25" s="825"/>
      <c r="Q25" s="825"/>
      <c r="R25" s="825"/>
      <c r="S25" s="825">
        <v>1893</v>
      </c>
      <c r="T25" s="825"/>
      <c r="U25" s="826"/>
    </row>
    <row r="26" spans="1:21" s="827" customFormat="1" ht="16.5" customHeight="1">
      <c r="A26" s="822">
        <v>18</v>
      </c>
      <c r="B26" s="823" t="s">
        <v>815</v>
      </c>
      <c r="C26" s="828">
        <f>[2]HC!J81</f>
        <v>460</v>
      </c>
      <c r="D26" s="821">
        <f t="shared" si="3"/>
        <v>11169.437399999999</v>
      </c>
      <c r="E26" s="825">
        <v>9926.0973999999987</v>
      </c>
      <c r="F26" s="825"/>
      <c r="G26" s="825"/>
      <c r="H26" s="825">
        <f t="shared" si="4"/>
        <v>0</v>
      </c>
      <c r="I26" s="825"/>
      <c r="J26" s="825"/>
      <c r="K26" s="825"/>
      <c r="L26" s="825"/>
      <c r="M26" s="825">
        <v>1217.3400000000001</v>
      </c>
      <c r="N26" s="825"/>
      <c r="O26" s="825">
        <v>26</v>
      </c>
      <c r="P26" s="825"/>
      <c r="Q26" s="825"/>
      <c r="R26" s="825"/>
      <c r="S26" s="825"/>
      <c r="T26" s="825"/>
      <c r="U26" s="826"/>
    </row>
    <row r="27" spans="1:21" s="827" customFormat="1" ht="16.5" customHeight="1">
      <c r="A27" s="822">
        <v>19</v>
      </c>
      <c r="B27" s="823" t="s">
        <v>816</v>
      </c>
      <c r="C27" s="828">
        <f>[2]HC!J79+[2]KT!I59</f>
        <v>1630</v>
      </c>
      <c r="D27" s="821">
        <f t="shared" si="3"/>
        <v>11188.466200000001</v>
      </c>
      <c r="E27" s="825">
        <v>5487.0110000000004</v>
      </c>
      <c r="F27" s="825">
        <v>220</v>
      </c>
      <c r="G27" s="825"/>
      <c r="H27" s="825">
        <f t="shared" si="4"/>
        <v>220</v>
      </c>
      <c r="I27" s="825"/>
      <c r="J27" s="825"/>
      <c r="K27" s="825"/>
      <c r="L27" s="825">
        <v>3826.7160000000003</v>
      </c>
      <c r="M27" s="825">
        <v>648.7392000000001</v>
      </c>
      <c r="N27" s="825"/>
      <c r="O27" s="825">
        <v>26</v>
      </c>
      <c r="P27" s="825"/>
      <c r="Q27" s="825"/>
      <c r="R27" s="825"/>
      <c r="S27" s="825">
        <v>980</v>
      </c>
      <c r="T27" s="825"/>
      <c r="U27" s="826"/>
    </row>
    <row r="28" spans="1:21" s="827" customFormat="1" ht="16.5" customHeight="1">
      <c r="A28" s="822">
        <v>20</v>
      </c>
      <c r="B28" s="823" t="s">
        <v>817</v>
      </c>
      <c r="C28" s="828">
        <f>[2]HC!J82</f>
        <v>3500</v>
      </c>
      <c r="D28" s="821">
        <f t="shared" si="3"/>
        <v>8388.5747999999985</v>
      </c>
      <c r="E28" s="825">
        <v>8362.5747999999985</v>
      </c>
      <c r="F28" s="825"/>
      <c r="G28" s="825"/>
      <c r="H28" s="825">
        <f t="shared" si="4"/>
        <v>0</v>
      </c>
      <c r="I28" s="825"/>
      <c r="J28" s="825"/>
      <c r="K28" s="825"/>
      <c r="L28" s="825"/>
      <c r="M28" s="825"/>
      <c r="N28" s="825"/>
      <c r="O28" s="825">
        <v>26</v>
      </c>
      <c r="P28" s="825"/>
      <c r="Q28" s="825"/>
      <c r="R28" s="825"/>
      <c r="S28" s="825"/>
      <c r="T28" s="825"/>
      <c r="U28" s="826"/>
    </row>
    <row r="29" spans="1:21" s="827" customFormat="1" ht="15.75">
      <c r="A29" s="822">
        <v>21</v>
      </c>
      <c r="B29" s="823" t="s">
        <v>818</v>
      </c>
      <c r="C29" s="828" t="e">
        <f>[2]HC!J83</f>
        <v>#REF!</v>
      </c>
      <c r="D29" s="821">
        <f t="shared" si="3"/>
        <v>9075.2828000000009</v>
      </c>
      <c r="E29" s="825">
        <v>8633.7968000000001</v>
      </c>
      <c r="F29" s="825"/>
      <c r="G29" s="825"/>
      <c r="H29" s="825">
        <f t="shared" si="4"/>
        <v>0</v>
      </c>
      <c r="I29" s="825"/>
      <c r="J29" s="825"/>
      <c r="K29" s="825">
        <v>130</v>
      </c>
      <c r="L29" s="825"/>
      <c r="M29" s="825">
        <v>285.48599999999999</v>
      </c>
      <c r="N29" s="825"/>
      <c r="O29" s="825">
        <v>26</v>
      </c>
      <c r="P29" s="825"/>
      <c r="Q29" s="825"/>
      <c r="R29" s="825"/>
      <c r="S29" s="825"/>
      <c r="T29" s="825"/>
      <c r="U29" s="826"/>
    </row>
    <row r="30" spans="1:21" s="827" customFormat="1" ht="15.75">
      <c r="A30" s="822">
        <v>22</v>
      </c>
      <c r="B30" s="823" t="s">
        <v>819</v>
      </c>
      <c r="C30" s="828"/>
      <c r="D30" s="821">
        <f t="shared" si="3"/>
        <v>6644.0798000000004</v>
      </c>
      <c r="E30" s="825">
        <v>5261.2718000000004</v>
      </c>
      <c r="F30" s="825"/>
      <c r="G30" s="825">
        <v>947.80799999999999</v>
      </c>
      <c r="H30" s="825">
        <f t="shared" si="4"/>
        <v>947.80799999999999</v>
      </c>
      <c r="I30" s="825"/>
      <c r="J30" s="825">
        <v>400</v>
      </c>
      <c r="K30" s="825"/>
      <c r="L30" s="825"/>
      <c r="M30" s="825">
        <v>35</v>
      </c>
      <c r="N30" s="825"/>
      <c r="O30" s="825"/>
      <c r="P30" s="825"/>
      <c r="Q30" s="825"/>
      <c r="R30" s="825"/>
      <c r="S30" s="825"/>
      <c r="T30" s="825"/>
      <c r="U30" s="826"/>
    </row>
    <row r="31" spans="1:21" s="827" customFormat="1" ht="31.5">
      <c r="A31" s="822">
        <v>23</v>
      </c>
      <c r="B31" s="823" t="s">
        <v>883</v>
      </c>
      <c r="C31" s="828"/>
      <c r="D31" s="821">
        <f t="shared" si="3"/>
        <v>10039.7922</v>
      </c>
      <c r="E31" s="825">
        <v>9859.7921999999999</v>
      </c>
      <c r="F31" s="825"/>
      <c r="G31" s="825"/>
      <c r="H31" s="825">
        <f t="shared" si="4"/>
        <v>0</v>
      </c>
      <c r="I31" s="825"/>
      <c r="J31" s="825">
        <v>180</v>
      </c>
      <c r="K31" s="825"/>
      <c r="L31" s="825"/>
      <c r="M31" s="825"/>
      <c r="N31" s="825"/>
      <c r="O31" s="825"/>
      <c r="P31" s="825"/>
      <c r="Q31" s="825"/>
      <c r="R31" s="825"/>
      <c r="S31" s="825"/>
      <c r="T31" s="825"/>
      <c r="U31" s="826"/>
    </row>
    <row r="32" spans="1:21" s="827" customFormat="1" ht="21.75" customHeight="1">
      <c r="A32" s="822">
        <v>24</v>
      </c>
      <c r="B32" s="823" t="s">
        <v>820</v>
      </c>
      <c r="C32" s="828">
        <f>[2]HC!J86</f>
        <v>45</v>
      </c>
      <c r="D32" s="821">
        <f t="shared" si="3"/>
        <v>22205.735000000001</v>
      </c>
      <c r="E32" s="825">
        <v>3962.8810000000003</v>
      </c>
      <c r="F32" s="825"/>
      <c r="G32" s="825"/>
      <c r="H32" s="825">
        <f t="shared" si="4"/>
        <v>0</v>
      </c>
      <c r="I32" s="825"/>
      <c r="J32" s="825"/>
      <c r="K32" s="825">
        <v>18116.853999999999</v>
      </c>
      <c r="L32" s="825"/>
      <c r="M32" s="825"/>
      <c r="N32" s="825">
        <v>100</v>
      </c>
      <c r="O32" s="825">
        <v>26</v>
      </c>
      <c r="P32" s="825"/>
      <c r="Q32" s="825"/>
      <c r="R32" s="825"/>
      <c r="S32" s="825"/>
      <c r="T32" s="825"/>
      <c r="U32" s="826"/>
    </row>
    <row r="33" spans="1:21" s="827" customFormat="1" ht="15.75">
      <c r="A33" s="822">
        <v>25</v>
      </c>
      <c r="B33" s="823" t="s">
        <v>821</v>
      </c>
      <c r="C33" s="828"/>
      <c r="D33" s="821">
        <f t="shared" si="3"/>
        <v>5048.7338000000009</v>
      </c>
      <c r="E33" s="825">
        <v>5048.7338000000009</v>
      </c>
      <c r="F33" s="825"/>
      <c r="G33" s="825"/>
      <c r="H33" s="825">
        <f t="shared" si="4"/>
        <v>0</v>
      </c>
      <c r="I33" s="825"/>
      <c r="J33" s="825"/>
      <c r="K33" s="825"/>
      <c r="L33" s="825"/>
      <c r="M33" s="825"/>
      <c r="N33" s="825"/>
      <c r="O33" s="825"/>
      <c r="P33" s="825"/>
      <c r="Q33" s="825"/>
      <c r="R33" s="825"/>
      <c r="S33" s="825"/>
      <c r="T33" s="825"/>
      <c r="U33" s="826"/>
    </row>
    <row r="34" spans="1:21" s="827" customFormat="1" ht="15.75">
      <c r="A34" s="822">
        <v>26</v>
      </c>
      <c r="B34" s="829" t="s">
        <v>822</v>
      </c>
      <c r="C34" s="830"/>
      <c r="D34" s="831">
        <f t="shared" si="3"/>
        <v>6708.0217999999986</v>
      </c>
      <c r="E34" s="825">
        <v>5688.0217999999986</v>
      </c>
      <c r="F34" s="825">
        <v>170</v>
      </c>
      <c r="G34" s="825"/>
      <c r="H34" s="825">
        <f t="shared" si="4"/>
        <v>170</v>
      </c>
      <c r="I34" s="825"/>
      <c r="J34" s="825">
        <v>100</v>
      </c>
      <c r="K34" s="825">
        <v>350</v>
      </c>
      <c r="L34" s="825"/>
      <c r="M34" s="825">
        <v>400</v>
      </c>
      <c r="N34" s="825"/>
      <c r="O34" s="825"/>
      <c r="P34" s="825"/>
      <c r="Q34" s="825"/>
      <c r="R34" s="825"/>
      <c r="S34" s="825"/>
      <c r="T34" s="832"/>
      <c r="U34" s="826"/>
    </row>
    <row r="35" spans="1:21" s="827" customFormat="1" ht="15.75">
      <c r="A35" s="822">
        <v>27</v>
      </c>
      <c r="B35" s="823" t="s">
        <v>880</v>
      </c>
      <c r="C35" s="828"/>
      <c r="D35" s="821">
        <f t="shared" si="3"/>
        <v>2458.6738</v>
      </c>
      <c r="E35" s="825">
        <v>2458.6738</v>
      </c>
      <c r="F35" s="825"/>
      <c r="G35" s="825"/>
      <c r="H35" s="825">
        <f t="shared" si="4"/>
        <v>0</v>
      </c>
      <c r="I35" s="825"/>
      <c r="J35" s="825"/>
      <c r="K35" s="825"/>
      <c r="L35" s="825"/>
      <c r="M35" s="825"/>
      <c r="N35" s="825"/>
      <c r="O35" s="825"/>
      <c r="P35" s="825"/>
      <c r="Q35" s="825"/>
      <c r="R35" s="825"/>
      <c r="S35" s="825"/>
      <c r="T35" s="825"/>
      <c r="U35" s="826"/>
    </row>
    <row r="36" spans="1:21" s="827" customFormat="1" ht="33.75" customHeight="1">
      <c r="A36" s="822">
        <v>28</v>
      </c>
      <c r="B36" s="823" t="s">
        <v>823</v>
      </c>
      <c r="C36" s="828"/>
      <c r="D36" s="821">
        <f t="shared" si="3"/>
        <v>1032.4304</v>
      </c>
      <c r="E36" s="825">
        <v>1032.4304</v>
      </c>
      <c r="F36" s="825"/>
      <c r="G36" s="825"/>
      <c r="H36" s="825">
        <f t="shared" si="4"/>
        <v>0</v>
      </c>
      <c r="I36" s="825"/>
      <c r="J36" s="825"/>
      <c r="K36" s="825"/>
      <c r="L36" s="825"/>
      <c r="M36" s="825"/>
      <c r="N36" s="825"/>
      <c r="O36" s="825"/>
      <c r="P36" s="825"/>
      <c r="Q36" s="825"/>
      <c r="R36" s="825"/>
      <c r="S36" s="825"/>
      <c r="T36" s="825"/>
      <c r="U36" s="826"/>
    </row>
    <row r="37" spans="1:21" s="827" customFormat="1" ht="16.5" customHeight="1">
      <c r="A37" s="822">
        <v>29</v>
      </c>
      <c r="B37" s="823" t="s">
        <v>824</v>
      </c>
      <c r="C37" s="828"/>
      <c r="D37" s="821">
        <f t="shared" si="3"/>
        <v>709.62799999999993</v>
      </c>
      <c r="E37" s="825">
        <v>709.62799999999993</v>
      </c>
      <c r="F37" s="825"/>
      <c r="G37" s="825"/>
      <c r="H37" s="825">
        <f t="shared" si="4"/>
        <v>0</v>
      </c>
      <c r="I37" s="825"/>
      <c r="J37" s="825"/>
      <c r="K37" s="825"/>
      <c r="L37" s="825"/>
      <c r="M37" s="825"/>
      <c r="N37" s="825"/>
      <c r="O37" s="825"/>
      <c r="P37" s="825"/>
      <c r="Q37" s="825"/>
      <c r="R37" s="825"/>
      <c r="S37" s="825"/>
      <c r="T37" s="825"/>
      <c r="U37" s="826"/>
    </row>
    <row r="38" spans="1:21" s="827" customFormat="1" ht="15.75">
      <c r="A38" s="822">
        <v>30</v>
      </c>
      <c r="B38" s="823" t="s">
        <v>825</v>
      </c>
      <c r="C38" s="828"/>
      <c r="D38" s="821">
        <f t="shared" si="3"/>
        <v>37850.163</v>
      </c>
      <c r="E38" s="825"/>
      <c r="F38" s="825"/>
      <c r="G38" s="825">
        <v>37811.163</v>
      </c>
      <c r="H38" s="825">
        <f t="shared" si="4"/>
        <v>37811.163</v>
      </c>
      <c r="I38" s="825"/>
      <c r="J38" s="825"/>
      <c r="K38" s="825"/>
      <c r="L38" s="825"/>
      <c r="M38" s="825"/>
      <c r="N38" s="825"/>
      <c r="O38" s="825">
        <v>39</v>
      </c>
      <c r="P38" s="825"/>
      <c r="Q38" s="825"/>
      <c r="R38" s="825"/>
      <c r="S38" s="825"/>
      <c r="T38" s="825"/>
      <c r="U38" s="826"/>
    </row>
    <row r="39" spans="1:21" s="827" customFormat="1" ht="16.5" customHeight="1">
      <c r="A39" s="822">
        <v>31</v>
      </c>
      <c r="B39" s="823" t="s">
        <v>826</v>
      </c>
      <c r="C39" s="828"/>
      <c r="D39" s="821">
        <f t="shared" si="3"/>
        <v>25318.873</v>
      </c>
      <c r="E39" s="825"/>
      <c r="F39" s="825"/>
      <c r="G39" s="825">
        <v>25318.873</v>
      </c>
      <c r="H39" s="825">
        <f t="shared" si="4"/>
        <v>25318.873</v>
      </c>
      <c r="I39" s="825"/>
      <c r="J39" s="825"/>
      <c r="K39" s="825"/>
      <c r="L39" s="825"/>
      <c r="M39" s="825"/>
      <c r="N39" s="825"/>
      <c r="O39" s="825"/>
      <c r="P39" s="825"/>
      <c r="Q39" s="825"/>
      <c r="R39" s="825"/>
      <c r="S39" s="825"/>
      <c r="T39" s="825"/>
      <c r="U39" s="826"/>
    </row>
    <row r="40" spans="1:21" s="827" customFormat="1" ht="31.5">
      <c r="A40" s="822">
        <v>32</v>
      </c>
      <c r="B40" s="823" t="s">
        <v>827</v>
      </c>
      <c r="C40" s="828"/>
      <c r="D40" s="821">
        <f t="shared" si="3"/>
        <v>19107.493000000002</v>
      </c>
      <c r="E40" s="825"/>
      <c r="F40" s="825"/>
      <c r="G40" s="825">
        <v>19068.493000000002</v>
      </c>
      <c r="H40" s="825">
        <f t="shared" si="4"/>
        <v>19068.493000000002</v>
      </c>
      <c r="I40" s="825"/>
      <c r="J40" s="825"/>
      <c r="K40" s="825"/>
      <c r="L40" s="825"/>
      <c r="M40" s="825"/>
      <c r="N40" s="825"/>
      <c r="O40" s="825">
        <v>39</v>
      </c>
      <c r="P40" s="825"/>
      <c r="Q40" s="825"/>
      <c r="R40" s="825"/>
      <c r="S40" s="825"/>
      <c r="T40" s="825"/>
      <c r="U40" s="826"/>
    </row>
    <row r="41" spans="1:21" s="827" customFormat="1" ht="15.75">
      <c r="A41" s="822">
        <v>33</v>
      </c>
      <c r="B41" s="823" t="s">
        <v>828</v>
      </c>
      <c r="C41" s="828"/>
      <c r="D41" s="821">
        <f t="shared" si="3"/>
        <v>10878.880000000001</v>
      </c>
      <c r="E41" s="825"/>
      <c r="F41" s="825"/>
      <c r="G41" s="825">
        <v>10878.880000000001</v>
      </c>
      <c r="H41" s="825">
        <f t="shared" si="4"/>
        <v>10878.880000000001</v>
      </c>
      <c r="I41" s="825"/>
      <c r="J41" s="825"/>
      <c r="K41" s="825"/>
      <c r="L41" s="825"/>
      <c r="M41" s="825"/>
      <c r="N41" s="825"/>
      <c r="O41" s="825"/>
      <c r="P41" s="825"/>
      <c r="Q41" s="825"/>
      <c r="R41" s="825"/>
      <c r="S41" s="825"/>
      <c r="T41" s="825"/>
      <c r="U41" s="826"/>
    </row>
    <row r="42" spans="1:21" s="827" customFormat="1" ht="15.75">
      <c r="A42" s="822">
        <v>34</v>
      </c>
      <c r="B42" s="823" t="s">
        <v>829</v>
      </c>
      <c r="C42" s="828"/>
      <c r="D42" s="821">
        <f>SUM(E42:T42)-H42</f>
        <v>11856.099999999999</v>
      </c>
      <c r="E42" s="825"/>
      <c r="F42" s="825"/>
      <c r="G42" s="825">
        <v>11830.099999999999</v>
      </c>
      <c r="H42" s="825">
        <f t="shared" si="4"/>
        <v>11830.099999999999</v>
      </c>
      <c r="I42" s="825"/>
      <c r="J42" s="825"/>
      <c r="K42" s="825"/>
      <c r="L42" s="825"/>
      <c r="M42" s="825"/>
      <c r="N42" s="825"/>
      <c r="O42" s="825">
        <v>26</v>
      </c>
      <c r="P42" s="825"/>
      <c r="Q42" s="825"/>
      <c r="R42" s="825"/>
      <c r="S42" s="825"/>
      <c r="T42" s="825"/>
      <c r="U42" s="826"/>
    </row>
    <row r="43" spans="1:21" s="827" customFormat="1" ht="47.25">
      <c r="A43" s="822">
        <v>35</v>
      </c>
      <c r="B43" s="823" t="s">
        <v>830</v>
      </c>
      <c r="C43" s="828"/>
      <c r="D43" s="821">
        <f>SUM(E43:T43)-H43</f>
        <v>837790</v>
      </c>
      <c r="E43" s="825">
        <f>E44+E49+E51+E54+E58+E64+E71+E72</f>
        <v>168971</v>
      </c>
      <c r="F43" s="825">
        <f>F44+F49+F51+F54+F58+F64+F71+F72</f>
        <v>239300</v>
      </c>
      <c r="G43" s="825">
        <f>G44+G49+G51+G54+G58+G64+G71+G72</f>
        <v>50000</v>
      </c>
      <c r="H43" s="825">
        <f>F43+G43</f>
        <v>289300</v>
      </c>
      <c r="I43" s="825">
        <f t="shared" ref="I43:T43" si="5">I44+I49+I51+I54+I58+I64+I71+I72</f>
        <v>0</v>
      </c>
      <c r="J43" s="825">
        <f t="shared" si="5"/>
        <v>0</v>
      </c>
      <c r="K43" s="825">
        <f t="shared" si="5"/>
        <v>44950</v>
      </c>
      <c r="L43" s="825">
        <f t="shared" si="5"/>
        <v>77300</v>
      </c>
      <c r="M43" s="825">
        <f t="shared" si="5"/>
        <v>235520</v>
      </c>
      <c r="N43" s="825">
        <f t="shared" si="5"/>
        <v>15000</v>
      </c>
      <c r="O43" s="825">
        <f t="shared" si="5"/>
        <v>5500</v>
      </c>
      <c r="P43" s="825">
        <f t="shared" si="5"/>
        <v>1249</v>
      </c>
      <c r="Q43" s="825">
        <f t="shared" si="5"/>
        <v>0</v>
      </c>
      <c r="R43" s="825">
        <f t="shared" si="5"/>
        <v>0</v>
      </c>
      <c r="S43" s="825">
        <f t="shared" si="5"/>
        <v>0</v>
      </c>
      <c r="T43" s="825">
        <f t="shared" si="5"/>
        <v>0</v>
      </c>
      <c r="U43" s="826"/>
    </row>
    <row r="44" spans="1:21" s="827" customFormat="1" ht="16.5" customHeight="1">
      <c r="A44" s="822" t="s">
        <v>433</v>
      </c>
      <c r="B44" s="823" t="s">
        <v>831</v>
      </c>
      <c r="C44" s="828"/>
      <c r="D44" s="821">
        <f t="shared" si="3"/>
        <v>289300</v>
      </c>
      <c r="E44" s="825"/>
      <c r="F44" s="825">
        <f>SUM(F45:F48)</f>
        <v>239300</v>
      </c>
      <c r="G44" s="825">
        <f>SUM(G45:G48)</f>
        <v>50000</v>
      </c>
      <c r="H44" s="825">
        <f t="shared" si="4"/>
        <v>289300</v>
      </c>
      <c r="I44" s="825"/>
      <c r="J44" s="825"/>
      <c r="K44" s="825"/>
      <c r="L44" s="825"/>
      <c r="M44" s="825"/>
      <c r="N44" s="825"/>
      <c r="O44" s="825"/>
      <c r="P44" s="825"/>
      <c r="Q44" s="825"/>
      <c r="R44" s="825"/>
      <c r="S44" s="825"/>
      <c r="T44" s="825"/>
      <c r="U44" s="826"/>
    </row>
    <row r="45" spans="1:21" s="839" customFormat="1" ht="78.75">
      <c r="A45" s="833"/>
      <c r="B45" s="834" t="s">
        <v>832</v>
      </c>
      <c r="C45" s="835"/>
      <c r="D45" s="836">
        <f t="shared" si="3"/>
        <v>200000</v>
      </c>
      <c r="E45" s="837"/>
      <c r="F45" s="837">
        <v>200000</v>
      </c>
      <c r="G45" s="837"/>
      <c r="H45" s="825">
        <f t="shared" si="4"/>
        <v>200000</v>
      </c>
      <c r="I45" s="837"/>
      <c r="J45" s="837"/>
      <c r="K45" s="837"/>
      <c r="L45" s="837"/>
      <c r="M45" s="837"/>
      <c r="N45" s="837"/>
      <c r="O45" s="837"/>
      <c r="P45" s="837"/>
      <c r="Q45" s="837"/>
      <c r="R45" s="837"/>
      <c r="S45" s="837"/>
      <c r="T45" s="837"/>
      <c r="U45" s="838"/>
    </row>
    <row r="46" spans="1:21" s="839" customFormat="1" ht="31.5">
      <c r="A46" s="833"/>
      <c r="B46" s="834" t="s">
        <v>833</v>
      </c>
      <c r="C46" s="835"/>
      <c r="D46" s="836">
        <f t="shared" si="3"/>
        <v>22300</v>
      </c>
      <c r="E46" s="837"/>
      <c r="F46" s="837">
        <v>22300</v>
      </c>
      <c r="G46" s="837"/>
      <c r="H46" s="825">
        <f t="shared" si="4"/>
        <v>22300</v>
      </c>
      <c r="I46" s="837"/>
      <c r="J46" s="837"/>
      <c r="K46" s="837"/>
      <c r="L46" s="837"/>
      <c r="M46" s="837"/>
      <c r="N46" s="837"/>
      <c r="O46" s="837"/>
      <c r="P46" s="837"/>
      <c r="Q46" s="837"/>
      <c r="R46" s="837"/>
      <c r="S46" s="837"/>
      <c r="T46" s="837"/>
      <c r="U46" s="838"/>
    </row>
    <row r="47" spans="1:21" s="839" customFormat="1" ht="31.5">
      <c r="A47" s="833"/>
      <c r="B47" s="834" t="s">
        <v>834</v>
      </c>
      <c r="C47" s="835"/>
      <c r="D47" s="836">
        <f t="shared" si="3"/>
        <v>17000</v>
      </c>
      <c r="E47" s="837"/>
      <c r="F47" s="837">
        <v>17000</v>
      </c>
      <c r="G47" s="837"/>
      <c r="H47" s="825">
        <f t="shared" si="4"/>
        <v>17000</v>
      </c>
      <c r="I47" s="837"/>
      <c r="J47" s="837"/>
      <c r="K47" s="837"/>
      <c r="L47" s="837"/>
      <c r="M47" s="837"/>
      <c r="N47" s="837"/>
      <c r="O47" s="837"/>
      <c r="P47" s="837"/>
      <c r="Q47" s="837"/>
      <c r="R47" s="837"/>
      <c r="S47" s="837"/>
      <c r="T47" s="837"/>
      <c r="U47" s="838"/>
    </row>
    <row r="48" spans="1:21" s="839" customFormat="1" ht="15.75">
      <c r="A48" s="833"/>
      <c r="B48" s="834" t="s">
        <v>835</v>
      </c>
      <c r="C48" s="835"/>
      <c r="D48" s="836">
        <f t="shared" si="3"/>
        <v>50000</v>
      </c>
      <c r="E48" s="837"/>
      <c r="F48" s="837"/>
      <c r="G48" s="837">
        <v>50000</v>
      </c>
      <c r="H48" s="825">
        <f t="shared" si="4"/>
        <v>50000</v>
      </c>
      <c r="I48" s="837"/>
      <c r="J48" s="837"/>
      <c r="K48" s="837"/>
      <c r="L48" s="837"/>
      <c r="M48" s="837"/>
      <c r="N48" s="837"/>
      <c r="O48" s="837"/>
      <c r="P48" s="837"/>
      <c r="Q48" s="837"/>
      <c r="R48" s="837"/>
      <c r="S48" s="837"/>
      <c r="T48" s="837"/>
      <c r="U48" s="838"/>
    </row>
    <row r="49" spans="1:21" s="827" customFormat="1" ht="15.75">
      <c r="A49" s="822" t="s">
        <v>433</v>
      </c>
      <c r="B49" s="823" t="s">
        <v>836</v>
      </c>
      <c r="C49" s="828"/>
      <c r="D49" s="821">
        <f t="shared" si="3"/>
        <v>0</v>
      </c>
      <c r="E49" s="825"/>
      <c r="F49" s="825"/>
      <c r="G49" s="825"/>
      <c r="H49" s="825">
        <f t="shared" si="4"/>
        <v>0</v>
      </c>
      <c r="I49" s="825"/>
      <c r="J49" s="825"/>
      <c r="K49" s="825"/>
      <c r="L49" s="825"/>
      <c r="M49" s="825"/>
      <c r="N49" s="825"/>
      <c r="O49" s="825"/>
      <c r="P49" s="825"/>
      <c r="Q49" s="825"/>
      <c r="R49" s="825"/>
      <c r="S49" s="825"/>
      <c r="T49" s="825"/>
      <c r="U49" s="826"/>
    </row>
    <row r="50" spans="1:21" s="827" customFormat="1" ht="31.5">
      <c r="A50" s="822"/>
      <c r="B50" s="834" t="s">
        <v>834</v>
      </c>
      <c r="C50" s="828"/>
      <c r="D50" s="821">
        <f t="shared" si="3"/>
        <v>13000</v>
      </c>
      <c r="E50" s="825"/>
      <c r="F50" s="825"/>
      <c r="G50" s="825"/>
      <c r="H50" s="825">
        <f t="shared" si="4"/>
        <v>0</v>
      </c>
      <c r="I50" s="825">
        <v>13000</v>
      </c>
      <c r="J50" s="825"/>
      <c r="K50" s="825"/>
      <c r="L50" s="825"/>
      <c r="M50" s="825"/>
      <c r="N50" s="825"/>
      <c r="O50" s="825"/>
      <c r="P50" s="825"/>
      <c r="Q50" s="825"/>
      <c r="R50" s="825"/>
      <c r="S50" s="825"/>
      <c r="T50" s="825"/>
      <c r="U50" s="826"/>
    </row>
    <row r="51" spans="1:21" s="827" customFormat="1" ht="15.75">
      <c r="A51" s="822" t="s">
        <v>433</v>
      </c>
      <c r="B51" s="823" t="s">
        <v>837</v>
      </c>
      <c r="C51" s="828"/>
      <c r="D51" s="821">
        <f t="shared" si="3"/>
        <v>6749</v>
      </c>
      <c r="E51" s="825">
        <f>E52+E53</f>
        <v>0</v>
      </c>
      <c r="F51" s="825">
        <f t="shared" ref="F51:T51" si="6">F52+F53</f>
        <v>0</v>
      </c>
      <c r="G51" s="825">
        <f t="shared" si="6"/>
        <v>0</v>
      </c>
      <c r="H51" s="825">
        <f t="shared" si="4"/>
        <v>0</v>
      </c>
      <c r="I51" s="825">
        <f t="shared" si="6"/>
        <v>0</v>
      </c>
      <c r="J51" s="825">
        <f t="shared" si="6"/>
        <v>0</v>
      </c>
      <c r="K51" s="825">
        <f t="shared" si="6"/>
        <v>0</v>
      </c>
      <c r="L51" s="825">
        <f t="shared" si="6"/>
        <v>0</v>
      </c>
      <c r="M51" s="825">
        <f t="shared" si="6"/>
        <v>0</v>
      </c>
      <c r="N51" s="825">
        <f t="shared" si="6"/>
        <v>0</v>
      </c>
      <c r="O51" s="825">
        <f t="shared" si="6"/>
        <v>5500</v>
      </c>
      <c r="P51" s="825">
        <f t="shared" si="6"/>
        <v>1249</v>
      </c>
      <c r="Q51" s="825">
        <f t="shared" si="6"/>
        <v>0</v>
      </c>
      <c r="R51" s="825">
        <f t="shared" si="6"/>
        <v>0</v>
      </c>
      <c r="S51" s="825">
        <f t="shared" si="6"/>
        <v>0</v>
      </c>
      <c r="T51" s="825">
        <f t="shared" si="6"/>
        <v>0</v>
      </c>
      <c r="U51" s="826"/>
    </row>
    <row r="52" spans="1:21" s="839" customFormat="1" ht="15.75">
      <c r="A52" s="833"/>
      <c r="B52" s="834" t="s">
        <v>838</v>
      </c>
      <c r="C52" s="835"/>
      <c r="D52" s="836">
        <f t="shared" si="3"/>
        <v>5500</v>
      </c>
      <c r="E52" s="837"/>
      <c r="F52" s="837"/>
      <c r="G52" s="837"/>
      <c r="H52" s="825">
        <f t="shared" si="4"/>
        <v>0</v>
      </c>
      <c r="I52" s="837"/>
      <c r="J52" s="837"/>
      <c r="K52" s="837"/>
      <c r="L52" s="837"/>
      <c r="M52" s="837"/>
      <c r="N52" s="837"/>
      <c r="O52" s="837">
        <f>2500+3000</f>
        <v>5500</v>
      </c>
      <c r="P52" s="837"/>
      <c r="Q52" s="837"/>
      <c r="R52" s="837"/>
      <c r="S52" s="837"/>
      <c r="T52" s="837"/>
      <c r="U52" s="838"/>
    </row>
    <row r="53" spans="1:21" s="839" customFormat="1" ht="47.25">
      <c r="A53" s="833"/>
      <c r="B53" s="834" t="s">
        <v>839</v>
      </c>
      <c r="C53" s="835"/>
      <c r="D53" s="836">
        <f t="shared" si="3"/>
        <v>1249</v>
      </c>
      <c r="E53" s="837"/>
      <c r="F53" s="837"/>
      <c r="G53" s="837"/>
      <c r="H53" s="825">
        <f t="shared" si="4"/>
        <v>0</v>
      </c>
      <c r="I53" s="837"/>
      <c r="J53" s="837"/>
      <c r="K53" s="837"/>
      <c r="L53" s="837"/>
      <c r="M53" s="837"/>
      <c r="N53" s="837"/>
      <c r="O53" s="837"/>
      <c r="P53" s="837">
        <v>1249</v>
      </c>
      <c r="Q53" s="837"/>
      <c r="R53" s="837"/>
      <c r="S53" s="837"/>
      <c r="T53" s="837"/>
      <c r="U53" s="838"/>
    </row>
    <row r="54" spans="1:21" s="827" customFormat="1" ht="31.5">
      <c r="A54" s="822" t="s">
        <v>433</v>
      </c>
      <c r="B54" s="823" t="s">
        <v>840</v>
      </c>
      <c r="C54" s="828"/>
      <c r="D54" s="821">
        <f>SUM(E54:T54)-H54</f>
        <v>44950</v>
      </c>
      <c r="E54" s="825"/>
      <c r="F54" s="825"/>
      <c r="G54" s="825"/>
      <c r="H54" s="825">
        <f t="shared" si="4"/>
        <v>0</v>
      </c>
      <c r="I54" s="825"/>
      <c r="J54" s="825"/>
      <c r="K54" s="825">
        <f>SUM(K55:K57)</f>
        <v>44950</v>
      </c>
      <c r="L54" s="825"/>
      <c r="M54" s="825"/>
      <c r="N54" s="825"/>
      <c r="O54" s="825"/>
      <c r="P54" s="825"/>
      <c r="Q54" s="825"/>
      <c r="R54" s="825"/>
      <c r="S54" s="825"/>
      <c r="T54" s="825"/>
      <c r="U54" s="826"/>
    </row>
    <row r="55" spans="1:21" s="839" customFormat="1" ht="31.5">
      <c r="A55" s="833"/>
      <c r="B55" s="834" t="s">
        <v>841</v>
      </c>
      <c r="C55" s="835"/>
      <c r="D55" s="836">
        <f t="shared" si="3"/>
        <v>15000</v>
      </c>
      <c r="E55" s="837"/>
      <c r="F55" s="837"/>
      <c r="G55" s="837"/>
      <c r="H55" s="825">
        <f t="shared" si="4"/>
        <v>0</v>
      </c>
      <c r="I55" s="837"/>
      <c r="J55" s="837"/>
      <c r="K55" s="837">
        <v>15000</v>
      </c>
      <c r="L55" s="837"/>
      <c r="M55" s="837"/>
      <c r="N55" s="837"/>
      <c r="O55" s="837"/>
      <c r="P55" s="837"/>
      <c r="Q55" s="837"/>
      <c r="R55" s="837"/>
      <c r="S55" s="837"/>
      <c r="T55" s="837"/>
      <c r="U55" s="838"/>
    </row>
    <row r="56" spans="1:21" s="839" customFormat="1" ht="31.5">
      <c r="A56" s="833"/>
      <c r="B56" s="834" t="s">
        <v>842</v>
      </c>
      <c r="C56" s="835"/>
      <c r="D56" s="836">
        <f t="shared" si="3"/>
        <v>24950</v>
      </c>
      <c r="E56" s="837"/>
      <c r="F56" s="837"/>
      <c r="G56" s="837"/>
      <c r="H56" s="825">
        <f t="shared" si="4"/>
        <v>0</v>
      </c>
      <c r="I56" s="837"/>
      <c r="J56" s="837"/>
      <c r="K56" s="837">
        <f>25000-50</f>
        <v>24950</v>
      </c>
      <c r="L56" s="837"/>
      <c r="M56" s="837"/>
      <c r="N56" s="837"/>
      <c r="O56" s="837"/>
      <c r="P56" s="837"/>
      <c r="Q56" s="837"/>
      <c r="R56" s="837"/>
      <c r="S56" s="837"/>
      <c r="T56" s="837"/>
      <c r="U56" s="838"/>
    </row>
    <row r="57" spans="1:21" s="839" customFormat="1" ht="47.25">
      <c r="A57" s="833" t="s">
        <v>433</v>
      </c>
      <c r="B57" s="834" t="s">
        <v>843</v>
      </c>
      <c r="C57" s="835"/>
      <c r="D57" s="836">
        <f t="shared" si="3"/>
        <v>5000</v>
      </c>
      <c r="E57" s="837"/>
      <c r="F57" s="837"/>
      <c r="G57" s="837"/>
      <c r="H57" s="825">
        <f t="shared" si="4"/>
        <v>0</v>
      </c>
      <c r="I57" s="837"/>
      <c r="J57" s="837"/>
      <c r="K57" s="837">
        <v>5000</v>
      </c>
      <c r="L57" s="837"/>
      <c r="M57" s="837"/>
      <c r="N57" s="837"/>
      <c r="O57" s="837"/>
      <c r="P57" s="837"/>
      <c r="Q57" s="837"/>
      <c r="R57" s="837"/>
      <c r="S57" s="837"/>
      <c r="T57" s="837"/>
      <c r="U57" s="838"/>
    </row>
    <row r="58" spans="1:21" s="827" customFormat="1" ht="15.75">
      <c r="A58" s="822" t="s">
        <v>433</v>
      </c>
      <c r="B58" s="823" t="s">
        <v>844</v>
      </c>
      <c r="C58" s="828"/>
      <c r="D58" s="821">
        <f>SUM(E58:T58)</f>
        <v>77300</v>
      </c>
      <c r="E58" s="821">
        <f>SUM(E59:E63)</f>
        <v>0</v>
      </c>
      <c r="F58" s="821">
        <f t="shared" ref="F58:T58" si="7">SUM(F59:F63)</f>
        <v>0</v>
      </c>
      <c r="G58" s="821">
        <f t="shared" si="7"/>
        <v>0</v>
      </c>
      <c r="H58" s="825">
        <f t="shared" si="4"/>
        <v>0</v>
      </c>
      <c r="I58" s="821">
        <f t="shared" si="7"/>
        <v>0</v>
      </c>
      <c r="J58" s="821">
        <f t="shared" si="7"/>
        <v>0</v>
      </c>
      <c r="K58" s="821">
        <f t="shared" si="7"/>
        <v>0</v>
      </c>
      <c r="L58" s="821">
        <f>SUM(L59:L63)</f>
        <v>77300</v>
      </c>
      <c r="M58" s="821">
        <f t="shared" si="7"/>
        <v>0</v>
      </c>
      <c r="N58" s="821">
        <f t="shared" si="7"/>
        <v>0</v>
      </c>
      <c r="O58" s="821">
        <f t="shared" si="7"/>
        <v>0</v>
      </c>
      <c r="P58" s="821">
        <f t="shared" si="7"/>
        <v>0</v>
      </c>
      <c r="Q58" s="821">
        <f t="shared" si="7"/>
        <v>0</v>
      </c>
      <c r="R58" s="821">
        <f t="shared" si="7"/>
        <v>0</v>
      </c>
      <c r="S58" s="821">
        <f t="shared" si="7"/>
        <v>0</v>
      </c>
      <c r="T58" s="821">
        <f t="shared" si="7"/>
        <v>0</v>
      </c>
      <c r="U58" s="826"/>
    </row>
    <row r="59" spans="1:21" s="839" customFormat="1" ht="31.5">
      <c r="A59" s="833"/>
      <c r="B59" s="834" t="s">
        <v>845</v>
      </c>
      <c r="C59" s="835"/>
      <c r="D59" s="836"/>
      <c r="E59" s="837"/>
      <c r="F59" s="837"/>
      <c r="G59" s="837"/>
      <c r="H59" s="825">
        <f t="shared" si="4"/>
        <v>0</v>
      </c>
      <c r="I59" s="837"/>
      <c r="J59" s="837"/>
      <c r="K59" s="837"/>
      <c r="L59" s="837">
        <v>2500</v>
      </c>
      <c r="M59" s="837"/>
      <c r="N59" s="837"/>
      <c r="O59" s="837"/>
      <c r="P59" s="837"/>
      <c r="Q59" s="837"/>
      <c r="R59" s="837"/>
      <c r="S59" s="837"/>
      <c r="T59" s="837"/>
      <c r="U59" s="838"/>
    </row>
    <row r="60" spans="1:21" s="839" customFormat="1" ht="31.5">
      <c r="A60" s="833"/>
      <c r="B60" s="834" t="s">
        <v>846</v>
      </c>
      <c r="C60" s="835"/>
      <c r="D60" s="836"/>
      <c r="E60" s="837"/>
      <c r="F60" s="837"/>
      <c r="G60" s="837"/>
      <c r="H60" s="825">
        <f t="shared" si="4"/>
        <v>0</v>
      </c>
      <c r="I60" s="837"/>
      <c r="J60" s="837"/>
      <c r="K60" s="837"/>
      <c r="L60" s="837">
        <v>18000</v>
      </c>
      <c r="M60" s="837"/>
      <c r="N60" s="837"/>
      <c r="O60" s="837"/>
      <c r="P60" s="837"/>
      <c r="Q60" s="837"/>
      <c r="R60" s="837"/>
      <c r="S60" s="837"/>
      <c r="T60" s="837"/>
      <c r="U60" s="838"/>
    </row>
    <row r="61" spans="1:21" s="839" customFormat="1" ht="31.5">
      <c r="A61" s="833"/>
      <c r="B61" s="834" t="s">
        <v>847</v>
      </c>
      <c r="C61" s="835"/>
      <c r="D61" s="836"/>
      <c r="E61" s="837"/>
      <c r="F61" s="837"/>
      <c r="G61" s="837"/>
      <c r="H61" s="825">
        <f t="shared" si="4"/>
        <v>0</v>
      </c>
      <c r="I61" s="837"/>
      <c r="J61" s="837"/>
      <c r="K61" s="837"/>
      <c r="L61" s="837">
        <v>5800</v>
      </c>
      <c r="M61" s="837"/>
      <c r="N61" s="837"/>
      <c r="O61" s="837"/>
      <c r="P61" s="837"/>
      <c r="Q61" s="837"/>
      <c r="R61" s="837"/>
      <c r="S61" s="837"/>
      <c r="T61" s="837"/>
      <c r="U61" s="838"/>
    </row>
    <row r="62" spans="1:21" s="839" customFormat="1" ht="47.25">
      <c r="A62" s="833"/>
      <c r="B62" s="834" t="s">
        <v>848</v>
      </c>
      <c r="C62" s="835"/>
      <c r="D62" s="836"/>
      <c r="E62" s="837"/>
      <c r="F62" s="837"/>
      <c r="G62" s="837"/>
      <c r="H62" s="825">
        <f t="shared" si="4"/>
        <v>0</v>
      </c>
      <c r="I62" s="837"/>
      <c r="J62" s="837"/>
      <c r="K62" s="837"/>
      <c r="L62" s="837">
        <f>16000+4000</f>
        <v>20000</v>
      </c>
      <c r="M62" s="837"/>
      <c r="N62" s="837"/>
      <c r="O62" s="837"/>
      <c r="P62" s="837"/>
      <c r="Q62" s="837"/>
      <c r="R62" s="837"/>
      <c r="S62" s="837"/>
      <c r="T62" s="837"/>
      <c r="U62" s="838"/>
    </row>
    <row r="63" spans="1:21" s="839" customFormat="1" ht="31.5">
      <c r="A63" s="833"/>
      <c r="B63" s="834" t="s">
        <v>891</v>
      </c>
      <c r="C63" s="835"/>
      <c r="D63" s="836"/>
      <c r="E63" s="837"/>
      <c r="F63" s="837"/>
      <c r="G63" s="837"/>
      <c r="H63" s="825">
        <f t="shared" si="4"/>
        <v>0</v>
      </c>
      <c r="I63" s="837"/>
      <c r="J63" s="837"/>
      <c r="K63" s="837"/>
      <c r="L63" s="837">
        <v>31000</v>
      </c>
      <c r="M63" s="837"/>
      <c r="N63" s="837"/>
      <c r="O63" s="837"/>
      <c r="P63" s="837"/>
      <c r="Q63" s="837"/>
      <c r="R63" s="837"/>
      <c r="S63" s="837"/>
      <c r="T63" s="837"/>
      <c r="U63" s="838"/>
    </row>
    <row r="64" spans="1:21" s="827" customFormat="1" ht="15.75">
      <c r="A64" s="822" t="s">
        <v>433</v>
      </c>
      <c r="B64" s="823" t="s">
        <v>20</v>
      </c>
      <c r="C64" s="828"/>
      <c r="D64" s="821">
        <f>SUM(E64:T64)</f>
        <v>235520</v>
      </c>
      <c r="E64" s="825">
        <f t="shared" ref="E64:T64" si="8">SUM(E65:E70)</f>
        <v>0</v>
      </c>
      <c r="F64" s="825">
        <f t="shared" si="8"/>
        <v>0</v>
      </c>
      <c r="G64" s="825">
        <f t="shared" si="8"/>
        <v>0</v>
      </c>
      <c r="H64" s="825">
        <f t="shared" si="4"/>
        <v>0</v>
      </c>
      <c r="I64" s="825">
        <f t="shared" si="8"/>
        <v>0</v>
      </c>
      <c r="J64" s="825">
        <f t="shared" si="8"/>
        <v>0</v>
      </c>
      <c r="K64" s="825">
        <f t="shared" si="8"/>
        <v>0</v>
      </c>
      <c r="L64" s="825">
        <f t="shared" si="8"/>
        <v>0</v>
      </c>
      <c r="M64" s="825">
        <f t="shared" si="8"/>
        <v>235520</v>
      </c>
      <c r="N64" s="825">
        <f t="shared" si="8"/>
        <v>0</v>
      </c>
      <c r="O64" s="825">
        <f t="shared" si="8"/>
        <v>0</v>
      </c>
      <c r="P64" s="825">
        <f t="shared" si="8"/>
        <v>0</v>
      </c>
      <c r="Q64" s="825">
        <f t="shared" si="8"/>
        <v>0</v>
      </c>
      <c r="R64" s="825">
        <f t="shared" si="8"/>
        <v>0</v>
      </c>
      <c r="S64" s="825">
        <f t="shared" si="8"/>
        <v>0</v>
      </c>
      <c r="T64" s="825">
        <f t="shared" si="8"/>
        <v>0</v>
      </c>
      <c r="U64" s="826"/>
    </row>
    <row r="65" spans="1:21" s="839" customFormat="1" ht="15.75">
      <c r="A65" s="833"/>
      <c r="B65" s="834" t="s">
        <v>849</v>
      </c>
      <c r="C65" s="835"/>
      <c r="D65" s="836"/>
      <c r="E65" s="837"/>
      <c r="F65" s="837"/>
      <c r="G65" s="837"/>
      <c r="H65" s="825">
        <f t="shared" si="4"/>
        <v>0</v>
      </c>
      <c r="I65" s="837"/>
      <c r="J65" s="837"/>
      <c r="K65" s="837"/>
      <c r="L65" s="837"/>
      <c r="M65" s="837">
        <v>50000</v>
      </c>
      <c r="N65" s="837"/>
      <c r="O65" s="837"/>
      <c r="P65" s="837"/>
      <c r="Q65" s="837"/>
      <c r="R65" s="837"/>
      <c r="S65" s="837"/>
      <c r="T65" s="837"/>
      <c r="U65" s="838"/>
    </row>
    <row r="66" spans="1:21" s="839" customFormat="1" ht="15.75">
      <c r="A66" s="833"/>
      <c r="B66" s="834" t="s">
        <v>850</v>
      </c>
      <c r="C66" s="835"/>
      <c r="D66" s="836"/>
      <c r="E66" s="837"/>
      <c r="F66" s="837"/>
      <c r="G66" s="837"/>
      <c r="H66" s="825">
        <f t="shared" si="4"/>
        <v>0</v>
      </c>
      <c r="I66" s="837"/>
      <c r="J66" s="837"/>
      <c r="K66" s="837"/>
      <c r="L66" s="837"/>
      <c r="M66" s="837">
        <v>30000</v>
      </c>
      <c r="N66" s="837"/>
      <c r="O66" s="837"/>
      <c r="P66" s="837"/>
      <c r="Q66" s="837"/>
      <c r="R66" s="837"/>
      <c r="S66" s="837"/>
      <c r="T66" s="837"/>
      <c r="U66" s="838"/>
    </row>
    <row r="67" spans="1:21" s="827" customFormat="1" ht="31.5">
      <c r="A67" s="822"/>
      <c r="B67" s="834" t="s">
        <v>846</v>
      </c>
      <c r="C67" s="828"/>
      <c r="D67" s="821">
        <f t="shared" si="3"/>
        <v>67000</v>
      </c>
      <c r="E67" s="825"/>
      <c r="F67" s="825"/>
      <c r="G67" s="825"/>
      <c r="H67" s="825">
        <f t="shared" si="4"/>
        <v>0</v>
      </c>
      <c r="I67" s="825"/>
      <c r="J67" s="825"/>
      <c r="K67" s="825"/>
      <c r="L67" s="825"/>
      <c r="M67" s="825">
        <v>67000</v>
      </c>
      <c r="N67" s="825"/>
      <c r="O67" s="825"/>
      <c r="P67" s="825"/>
      <c r="Q67" s="825"/>
      <c r="R67" s="825"/>
      <c r="S67" s="825"/>
      <c r="T67" s="825"/>
      <c r="U67" s="826"/>
    </row>
    <row r="68" spans="1:21" s="827" customFormat="1" ht="47.25">
      <c r="A68" s="822"/>
      <c r="B68" s="834" t="s">
        <v>851</v>
      </c>
      <c r="C68" s="828"/>
      <c r="D68" s="821"/>
      <c r="E68" s="825"/>
      <c r="F68" s="825"/>
      <c r="G68" s="825"/>
      <c r="H68" s="825">
        <f t="shared" si="4"/>
        <v>0</v>
      </c>
      <c r="I68" s="825"/>
      <c r="J68" s="825"/>
      <c r="K68" s="825"/>
      <c r="L68" s="825"/>
      <c r="M68" s="825">
        <v>63520</v>
      </c>
      <c r="N68" s="825"/>
      <c r="O68" s="825"/>
      <c r="P68" s="825"/>
      <c r="Q68" s="825"/>
      <c r="R68" s="825"/>
      <c r="S68" s="825"/>
      <c r="T68" s="825"/>
      <c r="U68" s="826"/>
    </row>
    <row r="69" spans="1:21" s="827" customFormat="1" ht="31.5">
      <c r="A69" s="822"/>
      <c r="B69" s="834" t="s">
        <v>852</v>
      </c>
      <c r="C69" s="828"/>
      <c r="D69" s="821"/>
      <c r="E69" s="825"/>
      <c r="F69" s="825"/>
      <c r="G69" s="825"/>
      <c r="H69" s="825">
        <f t="shared" si="4"/>
        <v>0</v>
      </c>
      <c r="I69" s="825"/>
      <c r="J69" s="825"/>
      <c r="K69" s="825"/>
      <c r="L69" s="825"/>
      <c r="M69" s="825">
        <v>15000</v>
      </c>
      <c r="N69" s="825"/>
      <c r="O69" s="825"/>
      <c r="P69" s="825"/>
      <c r="Q69" s="825"/>
      <c r="R69" s="825"/>
      <c r="S69" s="825"/>
      <c r="T69" s="825"/>
      <c r="U69" s="826"/>
    </row>
    <row r="70" spans="1:21" s="827" customFormat="1" ht="15.75">
      <c r="A70" s="822"/>
      <c r="B70" s="834" t="s">
        <v>853</v>
      </c>
      <c r="C70" s="828"/>
      <c r="D70" s="821"/>
      <c r="E70" s="825"/>
      <c r="F70" s="825"/>
      <c r="G70" s="825"/>
      <c r="H70" s="825">
        <f t="shared" si="4"/>
        <v>0</v>
      </c>
      <c r="I70" s="825"/>
      <c r="J70" s="825"/>
      <c r="K70" s="825"/>
      <c r="L70" s="825"/>
      <c r="M70" s="825">
        <v>10000</v>
      </c>
      <c r="N70" s="825"/>
      <c r="O70" s="825"/>
      <c r="P70" s="825"/>
      <c r="Q70" s="825"/>
      <c r="R70" s="825"/>
      <c r="S70" s="825"/>
      <c r="T70" s="825"/>
      <c r="U70" s="826"/>
    </row>
    <row r="71" spans="1:21" s="827" customFormat="1" ht="63">
      <c r="A71" s="822" t="s">
        <v>433</v>
      </c>
      <c r="B71" s="823" t="s">
        <v>854</v>
      </c>
      <c r="C71" s="828"/>
      <c r="D71" s="821"/>
      <c r="E71" s="825"/>
      <c r="F71" s="825"/>
      <c r="G71" s="825"/>
      <c r="H71" s="825">
        <f t="shared" si="4"/>
        <v>0</v>
      </c>
      <c r="I71" s="825"/>
      <c r="J71" s="825"/>
      <c r="K71" s="825"/>
      <c r="L71" s="825"/>
      <c r="M71" s="825"/>
      <c r="N71" s="825">
        <v>15000</v>
      </c>
      <c r="O71" s="825"/>
      <c r="P71" s="825"/>
      <c r="Q71" s="825"/>
      <c r="R71" s="825"/>
      <c r="S71" s="825"/>
      <c r="T71" s="825"/>
      <c r="U71" s="826"/>
    </row>
    <row r="72" spans="1:21" s="827" customFormat="1" ht="15.75">
      <c r="A72" s="822" t="s">
        <v>433</v>
      </c>
      <c r="B72" s="823" t="s">
        <v>855</v>
      </c>
      <c r="C72" s="828"/>
      <c r="D72" s="821">
        <f>SUM(E72:T72)</f>
        <v>168971</v>
      </c>
      <c r="E72" s="825">
        <f>SUM(E73:E76)</f>
        <v>168971</v>
      </c>
      <c r="F72" s="825">
        <f t="shared" ref="F72:T72" si="9">SUM(F73:F76)</f>
        <v>0</v>
      </c>
      <c r="G72" s="825">
        <f t="shared" si="9"/>
        <v>0</v>
      </c>
      <c r="H72" s="825">
        <f t="shared" si="4"/>
        <v>0</v>
      </c>
      <c r="I72" s="825">
        <f t="shared" si="9"/>
        <v>0</v>
      </c>
      <c r="J72" s="825">
        <f t="shared" si="9"/>
        <v>0</v>
      </c>
      <c r="K72" s="825">
        <f t="shared" si="9"/>
        <v>0</v>
      </c>
      <c r="L72" s="825">
        <f t="shared" si="9"/>
        <v>0</v>
      </c>
      <c r="M72" s="825">
        <f t="shared" si="9"/>
        <v>0</v>
      </c>
      <c r="N72" s="825">
        <f t="shared" si="9"/>
        <v>0</v>
      </c>
      <c r="O72" s="825">
        <f t="shared" si="9"/>
        <v>0</v>
      </c>
      <c r="P72" s="825">
        <f t="shared" si="9"/>
        <v>0</v>
      </c>
      <c r="Q72" s="825">
        <f t="shared" si="9"/>
        <v>0</v>
      </c>
      <c r="R72" s="825">
        <f t="shared" si="9"/>
        <v>0</v>
      </c>
      <c r="S72" s="825">
        <f t="shared" si="9"/>
        <v>0</v>
      </c>
      <c r="T72" s="825">
        <f t="shared" si="9"/>
        <v>0</v>
      </c>
      <c r="U72" s="826"/>
    </row>
    <row r="73" spans="1:21" s="839" customFormat="1" ht="15.75">
      <c r="A73" s="833"/>
      <c r="B73" s="834" t="s">
        <v>856</v>
      </c>
      <c r="C73" s="835"/>
      <c r="D73" s="836"/>
      <c r="E73" s="837">
        <v>25000</v>
      </c>
      <c r="F73" s="837"/>
      <c r="G73" s="837"/>
      <c r="H73" s="825">
        <f t="shared" si="4"/>
        <v>0</v>
      </c>
      <c r="I73" s="837"/>
      <c r="J73" s="837"/>
      <c r="K73" s="837"/>
      <c r="L73" s="837"/>
      <c r="M73" s="837"/>
      <c r="N73" s="837"/>
      <c r="O73" s="837"/>
      <c r="P73" s="837"/>
      <c r="Q73" s="837"/>
      <c r="R73" s="837"/>
      <c r="S73" s="837"/>
      <c r="T73" s="837"/>
      <c r="U73" s="838"/>
    </row>
    <row r="74" spans="1:21" s="839" customFormat="1" ht="31.5">
      <c r="A74" s="833"/>
      <c r="B74" s="834" t="s">
        <v>857</v>
      </c>
      <c r="C74" s="835"/>
      <c r="D74" s="836"/>
      <c r="E74" s="837">
        <v>35000</v>
      </c>
      <c r="F74" s="837"/>
      <c r="G74" s="837"/>
      <c r="H74" s="825">
        <f t="shared" ref="H74:H80" si="10">F74+G74</f>
        <v>0</v>
      </c>
      <c r="I74" s="837"/>
      <c r="J74" s="837"/>
      <c r="K74" s="837"/>
      <c r="L74" s="837"/>
      <c r="M74" s="837"/>
      <c r="N74" s="837"/>
      <c r="O74" s="837"/>
      <c r="P74" s="837"/>
      <c r="Q74" s="837"/>
      <c r="R74" s="837"/>
      <c r="S74" s="837"/>
      <c r="T74" s="837"/>
      <c r="U74" s="838"/>
    </row>
    <row r="75" spans="1:21" s="839" customFormat="1" ht="78.75">
      <c r="A75" s="833"/>
      <c r="B75" s="834" t="s">
        <v>832</v>
      </c>
      <c r="C75" s="835"/>
      <c r="D75" s="836"/>
      <c r="E75" s="837">
        <v>80000</v>
      </c>
      <c r="F75" s="837"/>
      <c r="G75" s="837"/>
      <c r="H75" s="825">
        <f t="shared" si="10"/>
        <v>0</v>
      </c>
      <c r="I75" s="837"/>
      <c r="J75" s="837"/>
      <c r="K75" s="837"/>
      <c r="L75" s="837"/>
      <c r="M75" s="837"/>
      <c r="N75" s="837"/>
      <c r="O75" s="837"/>
      <c r="P75" s="837"/>
      <c r="Q75" s="837"/>
      <c r="R75" s="837"/>
      <c r="S75" s="837"/>
      <c r="T75" s="837"/>
      <c r="U75" s="838"/>
    </row>
    <row r="76" spans="1:21" s="839" customFormat="1" ht="47.25">
      <c r="A76" s="833"/>
      <c r="B76" s="834" t="s">
        <v>858</v>
      </c>
      <c r="C76" s="835"/>
      <c r="D76" s="836"/>
      <c r="E76" s="837">
        <f>9657*3</f>
        <v>28971</v>
      </c>
      <c r="F76" s="837"/>
      <c r="G76" s="837"/>
      <c r="H76" s="825">
        <f t="shared" si="10"/>
        <v>0</v>
      </c>
      <c r="I76" s="837"/>
      <c r="J76" s="837"/>
      <c r="K76" s="837"/>
      <c r="L76" s="837"/>
      <c r="M76" s="837"/>
      <c r="N76" s="837"/>
      <c r="O76" s="837"/>
      <c r="P76" s="837"/>
      <c r="Q76" s="837"/>
      <c r="R76" s="837"/>
      <c r="S76" s="837"/>
      <c r="T76" s="837"/>
      <c r="U76" s="838"/>
    </row>
    <row r="77" spans="1:21" s="827" customFormat="1" ht="31.5">
      <c r="A77" s="822">
        <v>36</v>
      </c>
      <c r="B77" s="823" t="s">
        <v>859</v>
      </c>
      <c r="C77" s="828"/>
      <c r="D77" s="821">
        <f t="shared" si="3"/>
        <v>8566.7708000000002</v>
      </c>
      <c r="E77" s="825">
        <v>6076.7708000000002</v>
      </c>
      <c r="F77" s="825"/>
      <c r="G77" s="825"/>
      <c r="H77" s="825">
        <f t="shared" si="10"/>
        <v>0</v>
      </c>
      <c r="I77" s="825"/>
      <c r="J77" s="825"/>
      <c r="K77" s="825">
        <v>50</v>
      </c>
      <c r="L77" s="825"/>
      <c r="M77" s="825">
        <v>2440</v>
      </c>
      <c r="N77" s="825"/>
      <c r="O77" s="825"/>
      <c r="P77" s="825"/>
      <c r="Q77" s="825"/>
      <c r="R77" s="825"/>
      <c r="S77" s="825"/>
      <c r="T77" s="825"/>
      <c r="U77" s="826"/>
    </row>
    <row r="78" spans="1:21" s="827" customFormat="1" ht="31.5">
      <c r="A78" s="822">
        <v>37</v>
      </c>
      <c r="B78" s="840" t="s">
        <v>881</v>
      </c>
      <c r="C78" s="828"/>
      <c r="D78" s="821">
        <f t="shared" si="3"/>
        <v>17123.727999999999</v>
      </c>
      <c r="E78" s="825"/>
      <c r="F78" s="825"/>
      <c r="G78" s="825"/>
      <c r="H78" s="825">
        <f t="shared" si="10"/>
        <v>0</v>
      </c>
      <c r="I78" s="825"/>
      <c r="J78" s="825"/>
      <c r="K78" s="825">
        <v>17097.727999999999</v>
      </c>
      <c r="L78" s="825"/>
      <c r="M78" s="825"/>
      <c r="N78" s="825"/>
      <c r="O78" s="825">
        <v>26</v>
      </c>
      <c r="P78" s="825"/>
      <c r="Q78" s="825"/>
      <c r="R78" s="825"/>
      <c r="S78" s="825"/>
      <c r="T78" s="825"/>
      <c r="U78" s="826"/>
    </row>
    <row r="79" spans="1:21" s="827" customFormat="1" ht="15.75">
      <c r="A79" s="822">
        <v>38</v>
      </c>
      <c r="B79" s="841" t="s">
        <v>860</v>
      </c>
      <c r="C79" s="828"/>
      <c r="D79" s="821">
        <f t="shared" si="3"/>
        <v>40000</v>
      </c>
      <c r="E79" s="825"/>
      <c r="F79" s="825"/>
      <c r="G79" s="825"/>
      <c r="H79" s="825">
        <f t="shared" si="10"/>
        <v>0</v>
      </c>
      <c r="I79" s="825"/>
      <c r="J79" s="825"/>
      <c r="K79" s="825"/>
      <c r="L79" s="825"/>
      <c r="M79" s="825">
        <v>40000</v>
      </c>
      <c r="N79" s="825"/>
      <c r="O79" s="825"/>
      <c r="P79" s="825"/>
      <c r="Q79" s="825"/>
      <c r="R79" s="825"/>
      <c r="S79" s="825"/>
      <c r="T79" s="825"/>
      <c r="U79" s="826"/>
    </row>
    <row r="80" spans="1:21" s="827" customFormat="1" ht="31.5" customHeight="1">
      <c r="A80" s="822">
        <v>39</v>
      </c>
      <c r="B80" s="842" t="s">
        <v>861</v>
      </c>
      <c r="C80" s="828"/>
      <c r="D80" s="821">
        <f t="shared" si="3"/>
        <v>1710</v>
      </c>
      <c r="E80" s="825"/>
      <c r="F80" s="825"/>
      <c r="G80" s="825"/>
      <c r="H80" s="825">
        <f t="shared" si="10"/>
        <v>0</v>
      </c>
      <c r="I80" s="825"/>
      <c r="J80" s="825"/>
      <c r="K80" s="825"/>
      <c r="L80" s="825"/>
      <c r="M80" s="825">
        <v>1710</v>
      </c>
      <c r="N80" s="825"/>
      <c r="O80" s="825"/>
      <c r="P80" s="825"/>
      <c r="Q80" s="825"/>
      <c r="R80" s="825"/>
      <c r="S80" s="825"/>
      <c r="T80" s="825"/>
      <c r="U80" s="826"/>
    </row>
    <row r="81" spans="1:21" s="856" customFormat="1" ht="31.5" hidden="1">
      <c r="A81" s="833">
        <v>40</v>
      </c>
      <c r="B81" s="853" t="s">
        <v>862</v>
      </c>
      <c r="C81" s="854">
        <f>SUM(C82:C89)</f>
        <v>0</v>
      </c>
      <c r="D81" s="836">
        <f t="shared" ref="D81:I81" si="11">SUM(D82:D93)</f>
        <v>668722.12800000003</v>
      </c>
      <c r="E81" s="836">
        <f t="shared" si="11"/>
        <v>0</v>
      </c>
      <c r="F81" s="836">
        <f t="shared" si="11"/>
        <v>0</v>
      </c>
      <c r="G81" s="836">
        <f t="shared" si="11"/>
        <v>9117</v>
      </c>
      <c r="H81" s="836">
        <f t="shared" si="11"/>
        <v>9117</v>
      </c>
      <c r="I81" s="836">
        <f t="shared" si="11"/>
        <v>451334</v>
      </c>
      <c r="J81" s="836">
        <f t="shared" ref="J81:T81" si="12">SUM(J82:J93)</f>
        <v>0</v>
      </c>
      <c r="K81" s="836">
        <f t="shared" si="12"/>
        <v>320</v>
      </c>
      <c r="L81" s="836">
        <f t="shared" si="12"/>
        <v>500</v>
      </c>
      <c r="M81" s="836">
        <f t="shared" si="12"/>
        <v>48031</v>
      </c>
      <c r="N81" s="836">
        <f t="shared" si="12"/>
        <v>400</v>
      </c>
      <c r="O81" s="836">
        <f t="shared" si="12"/>
        <v>47496</v>
      </c>
      <c r="P81" s="836">
        <f t="shared" si="12"/>
        <v>14100</v>
      </c>
      <c r="Q81" s="836">
        <f t="shared" si="12"/>
        <v>80000</v>
      </c>
      <c r="R81" s="836">
        <f t="shared" si="12"/>
        <v>16839.127999999997</v>
      </c>
      <c r="S81" s="836">
        <f t="shared" si="12"/>
        <v>585</v>
      </c>
      <c r="T81" s="836">
        <f t="shared" si="12"/>
        <v>0</v>
      </c>
      <c r="U81" s="855"/>
    </row>
    <row r="82" spans="1:21" s="827" customFormat="1" ht="15.75">
      <c r="A82" s="822">
        <v>40</v>
      </c>
      <c r="B82" s="823" t="s">
        <v>863</v>
      </c>
      <c r="C82" s="828"/>
      <c r="D82" s="821">
        <f>SUM(E82:T82)-H82</f>
        <v>9950</v>
      </c>
      <c r="E82" s="825"/>
      <c r="F82" s="825"/>
      <c r="G82" s="825"/>
      <c r="H82" s="825"/>
      <c r="I82" s="825"/>
      <c r="J82" s="825"/>
      <c r="K82" s="825"/>
      <c r="L82" s="825"/>
      <c r="M82" s="825">
        <v>350</v>
      </c>
      <c r="N82" s="825"/>
      <c r="O82" s="825">
        <v>9600</v>
      </c>
      <c r="P82" s="825"/>
      <c r="Q82" s="825"/>
      <c r="R82" s="825"/>
      <c r="S82" s="825"/>
      <c r="T82" s="825"/>
      <c r="U82" s="826"/>
    </row>
    <row r="83" spans="1:21" s="827" customFormat="1" ht="15.75">
      <c r="A83" s="822">
        <v>41</v>
      </c>
      <c r="B83" s="823" t="s">
        <v>864</v>
      </c>
      <c r="C83" s="828"/>
      <c r="D83" s="821">
        <f>SUM(E83:T83)-H83</f>
        <v>45863</v>
      </c>
      <c r="E83" s="825"/>
      <c r="F83" s="825"/>
      <c r="G83" s="825">
        <v>7847</v>
      </c>
      <c r="H83" s="825">
        <f t="shared" ref="H83" si="13">F83+G83</f>
        <v>7847</v>
      </c>
      <c r="I83" s="825"/>
      <c r="J83" s="825"/>
      <c r="K83" s="825">
        <f>50+70</f>
        <v>120</v>
      </c>
      <c r="L83" s="825"/>
      <c r="M83" s="825"/>
      <c r="N83" s="825"/>
      <c r="O83" s="825">
        <v>37896</v>
      </c>
      <c r="P83" s="825"/>
      <c r="Q83" s="825"/>
      <c r="R83" s="825"/>
      <c r="S83" s="825"/>
      <c r="T83" s="825"/>
      <c r="U83" s="826"/>
    </row>
    <row r="84" spans="1:21" s="827" customFormat="1" ht="16.5" customHeight="1">
      <c r="A84" s="822">
        <v>42</v>
      </c>
      <c r="B84" s="823" t="s">
        <v>882</v>
      </c>
      <c r="C84" s="828"/>
      <c r="D84" s="821">
        <f t="shared" ref="D84:D92" si="14">SUM(E84:T84)-H84</f>
        <v>14650</v>
      </c>
      <c r="E84" s="825"/>
      <c r="F84" s="825"/>
      <c r="G84" s="825"/>
      <c r="H84" s="825"/>
      <c r="I84" s="825"/>
      <c r="J84" s="825"/>
      <c r="K84" s="825">
        <v>150</v>
      </c>
      <c r="L84" s="825"/>
      <c r="M84" s="825"/>
      <c r="N84" s="825">
        <v>400</v>
      </c>
      <c r="O84" s="825"/>
      <c r="P84" s="825">
        <v>14100</v>
      </c>
      <c r="Q84" s="825"/>
      <c r="R84" s="825"/>
      <c r="S84" s="825"/>
      <c r="T84" s="825"/>
      <c r="U84" s="826"/>
    </row>
    <row r="85" spans="1:21" s="827" customFormat="1" ht="16.5" customHeight="1">
      <c r="A85" s="822">
        <v>43</v>
      </c>
      <c r="B85" s="823" t="s">
        <v>865</v>
      </c>
      <c r="C85" s="828"/>
      <c r="D85" s="821">
        <f t="shared" si="14"/>
        <v>400</v>
      </c>
      <c r="E85" s="825"/>
      <c r="F85" s="825"/>
      <c r="G85" s="825"/>
      <c r="H85" s="825"/>
      <c r="I85" s="825"/>
      <c r="J85" s="825"/>
      <c r="K85" s="825"/>
      <c r="L85" s="825"/>
      <c r="M85" s="825">
        <v>400</v>
      </c>
      <c r="N85" s="825"/>
      <c r="O85" s="825"/>
      <c r="P85" s="825"/>
      <c r="Q85" s="825"/>
      <c r="R85" s="825"/>
      <c r="S85" s="825"/>
      <c r="T85" s="825"/>
      <c r="U85" s="826"/>
    </row>
    <row r="86" spans="1:21" s="827" customFormat="1" ht="15.75">
      <c r="A86" s="822">
        <v>44</v>
      </c>
      <c r="B86" s="823" t="s">
        <v>866</v>
      </c>
      <c r="C86" s="828"/>
      <c r="D86" s="821">
        <f t="shared" si="14"/>
        <v>432334</v>
      </c>
      <c r="E86" s="825"/>
      <c r="F86" s="825"/>
      <c r="G86" s="825"/>
      <c r="H86" s="825"/>
      <c r="I86" s="825">
        <v>432334</v>
      </c>
      <c r="J86" s="825"/>
      <c r="K86" s="825"/>
      <c r="L86" s="825"/>
      <c r="M86" s="825"/>
      <c r="N86" s="825"/>
      <c r="O86" s="825"/>
      <c r="P86" s="825"/>
      <c r="Q86" s="825"/>
      <c r="R86" s="825"/>
      <c r="S86" s="825"/>
      <c r="T86" s="825"/>
      <c r="U86" s="826"/>
    </row>
    <row r="87" spans="1:21" s="827" customFormat="1" ht="33.75" customHeight="1">
      <c r="A87" s="822">
        <v>45</v>
      </c>
      <c r="B87" s="843" t="s">
        <v>867</v>
      </c>
      <c r="C87" s="828"/>
      <c r="D87" s="821">
        <f t="shared" si="14"/>
        <v>46681</v>
      </c>
      <c r="E87" s="825"/>
      <c r="F87" s="825"/>
      <c r="G87" s="825"/>
      <c r="H87" s="825"/>
      <c r="I87" s="825"/>
      <c r="J87" s="825"/>
      <c r="K87" s="825"/>
      <c r="L87" s="825"/>
      <c r="M87" s="825">
        <v>46681</v>
      </c>
      <c r="N87" s="825"/>
      <c r="O87" s="825"/>
      <c r="P87" s="825"/>
      <c r="Q87" s="825"/>
      <c r="R87" s="825"/>
      <c r="S87" s="825"/>
      <c r="T87" s="825"/>
      <c r="U87" s="826"/>
    </row>
    <row r="88" spans="1:21" s="827" customFormat="1" ht="15.75">
      <c r="A88" s="822">
        <v>46</v>
      </c>
      <c r="B88" s="842" t="s">
        <v>887</v>
      </c>
      <c r="C88" s="828"/>
      <c r="D88" s="821">
        <f t="shared" si="14"/>
        <v>80000</v>
      </c>
      <c r="E88" s="825"/>
      <c r="F88" s="825"/>
      <c r="G88" s="825"/>
      <c r="H88" s="825"/>
      <c r="I88" s="825"/>
      <c r="J88" s="825"/>
      <c r="K88" s="825"/>
      <c r="L88" s="825"/>
      <c r="M88" s="825"/>
      <c r="N88" s="825"/>
      <c r="O88" s="825"/>
      <c r="P88" s="825"/>
      <c r="Q88" s="825">
        <v>80000</v>
      </c>
      <c r="R88" s="825"/>
      <c r="S88" s="825"/>
      <c r="T88" s="825"/>
      <c r="U88" s="826"/>
    </row>
    <row r="89" spans="1:21" s="827" customFormat="1" ht="31.5" customHeight="1">
      <c r="A89" s="822">
        <v>47</v>
      </c>
      <c r="B89" s="843" t="s">
        <v>888</v>
      </c>
      <c r="C89" s="828"/>
      <c r="D89" s="821">
        <f t="shared" si="14"/>
        <v>19000</v>
      </c>
      <c r="E89" s="825"/>
      <c r="F89" s="825"/>
      <c r="G89" s="825"/>
      <c r="H89" s="825"/>
      <c r="I89" s="825">
        <v>19000</v>
      </c>
      <c r="J89" s="825"/>
      <c r="K89" s="825"/>
      <c r="L89" s="825"/>
      <c r="M89" s="825"/>
      <c r="N89" s="825"/>
      <c r="O89" s="825"/>
      <c r="P89" s="825"/>
      <c r="Q89" s="844"/>
      <c r="R89" s="844"/>
      <c r="S89" s="844"/>
      <c r="T89" s="825"/>
      <c r="U89" s="826"/>
    </row>
    <row r="90" spans="1:21" s="827" customFormat="1" ht="15.75">
      <c r="A90" s="822">
        <v>48</v>
      </c>
      <c r="B90" s="841" t="s">
        <v>889</v>
      </c>
      <c r="C90" s="828"/>
      <c r="D90" s="821">
        <f t="shared" si="14"/>
        <v>500</v>
      </c>
      <c r="E90" s="825"/>
      <c r="F90" s="825"/>
      <c r="G90" s="825"/>
      <c r="H90" s="825"/>
      <c r="I90" s="825"/>
      <c r="J90" s="825"/>
      <c r="K90" s="825"/>
      <c r="L90" s="825">
        <v>500</v>
      </c>
      <c r="M90" s="825"/>
      <c r="N90" s="825"/>
      <c r="O90" s="825"/>
      <c r="P90" s="825"/>
      <c r="Q90" s="825"/>
      <c r="R90" s="825"/>
      <c r="S90" s="825"/>
      <c r="T90" s="825"/>
      <c r="U90" s="826"/>
    </row>
    <row r="91" spans="1:21" s="827" customFormat="1" ht="15.75">
      <c r="A91" s="822">
        <v>49</v>
      </c>
      <c r="B91" s="841" t="s">
        <v>890</v>
      </c>
      <c r="C91" s="828"/>
      <c r="D91" s="821">
        <f t="shared" si="14"/>
        <v>250</v>
      </c>
      <c r="E91" s="825"/>
      <c r="F91" s="825"/>
      <c r="G91" s="825"/>
      <c r="H91" s="825"/>
      <c r="I91" s="825"/>
      <c r="J91" s="825"/>
      <c r="K91" s="825"/>
      <c r="L91" s="825"/>
      <c r="M91" s="825"/>
      <c r="N91" s="825"/>
      <c r="O91" s="825"/>
      <c r="P91" s="825"/>
      <c r="Q91" s="825"/>
      <c r="R91" s="825">
        <v>250</v>
      </c>
      <c r="S91" s="825"/>
      <c r="T91" s="825"/>
      <c r="U91" s="826"/>
    </row>
    <row r="92" spans="1:21" s="827" customFormat="1" ht="15.75" hidden="1">
      <c r="A92" s="822">
        <v>49</v>
      </c>
      <c r="B92" s="842"/>
      <c r="C92" s="828"/>
      <c r="D92" s="821">
        <f t="shared" si="14"/>
        <v>0</v>
      </c>
      <c r="E92" s="825"/>
      <c r="F92" s="825"/>
      <c r="G92" s="825"/>
      <c r="H92" s="825"/>
      <c r="I92" s="825"/>
      <c r="J92" s="825"/>
      <c r="K92" s="825"/>
      <c r="L92" s="825"/>
      <c r="M92" s="825"/>
      <c r="N92" s="825"/>
      <c r="O92" s="825"/>
      <c r="P92" s="825"/>
      <c r="Q92" s="825"/>
      <c r="R92" s="825"/>
      <c r="S92" s="825"/>
      <c r="T92" s="825"/>
      <c r="U92" s="826"/>
    </row>
    <row r="93" spans="1:21" s="827" customFormat="1" ht="15.75">
      <c r="A93" s="822">
        <v>50</v>
      </c>
      <c r="B93" s="823" t="s">
        <v>868</v>
      </c>
      <c r="C93" s="828"/>
      <c r="D93" s="821">
        <f>SUM(E93:T93)-H93</f>
        <v>19094.127999999997</v>
      </c>
      <c r="E93" s="825"/>
      <c r="F93" s="825"/>
      <c r="G93" s="825">
        <f>'[2]TH Hoi'!D23</f>
        <v>1270</v>
      </c>
      <c r="H93" s="825">
        <f t="shared" ref="H93" si="15">F93+G93</f>
        <v>1270</v>
      </c>
      <c r="I93" s="825"/>
      <c r="J93" s="825"/>
      <c r="K93" s="857">
        <v>50</v>
      </c>
      <c r="L93" s="825"/>
      <c r="M93" s="825">
        <f>'[2]TH Hoi'!L6</f>
        <v>600</v>
      </c>
      <c r="N93" s="825"/>
      <c r="O93" s="825"/>
      <c r="P93" s="825"/>
      <c r="Q93" s="825"/>
      <c r="R93" s="825">
        <f>'[2]TH Hoi'!N6-250</f>
        <v>16589.127999999997</v>
      </c>
      <c r="S93" s="825">
        <f>'[2]TWBS mục tiêu'!H14+'[2]TWBS mục tiêu'!I14</f>
        <v>585</v>
      </c>
      <c r="T93" s="825"/>
      <c r="U93" s="826"/>
    </row>
    <row r="94" spans="1:21" ht="15.75">
      <c r="A94" s="845"/>
      <c r="B94" s="846"/>
      <c r="C94" s="845"/>
      <c r="D94" s="847"/>
      <c r="E94" s="847"/>
      <c r="F94" s="847"/>
      <c r="G94" s="847"/>
      <c r="H94" s="847"/>
      <c r="I94" s="847"/>
      <c r="J94" s="847"/>
      <c r="K94" s="847"/>
      <c r="L94" s="847"/>
      <c r="M94" s="847"/>
      <c r="N94" s="847"/>
      <c r="O94" s="847"/>
      <c r="P94" s="847"/>
      <c r="Q94" s="847"/>
      <c r="R94" s="847"/>
      <c r="S94" s="847"/>
      <c r="T94" s="847"/>
    </row>
    <row r="95" spans="1:21" ht="15">
      <c r="B95" s="848"/>
    </row>
    <row r="96" spans="1:21" ht="15">
      <c r="B96" s="848"/>
      <c r="M96" s="849"/>
    </row>
    <row r="97" spans="2:2" ht="15">
      <c r="B97" s="848"/>
    </row>
    <row r="98" spans="2:2" ht="15">
      <c r="B98" s="848"/>
    </row>
    <row r="113" ht="16.5" hidden="1" customHeight="1"/>
    <row r="114" ht="16.5" hidden="1" customHeight="1"/>
    <row r="115" ht="16.5" hidden="1" customHeight="1"/>
    <row r="125" ht="16.5" hidden="1" customHeight="1"/>
    <row r="127" ht="16.5" hidden="1" customHeight="1"/>
  </sheetData>
  <mergeCells count="22">
    <mergeCell ref="E4:S4"/>
    <mergeCell ref="T5:T6"/>
    <mergeCell ref="O5:O6"/>
    <mergeCell ref="P5:P6"/>
    <mergeCell ref="Q5:Q6"/>
    <mergeCell ref="R5:R6"/>
    <mergeCell ref="Q3:S3"/>
    <mergeCell ref="A1:T1"/>
    <mergeCell ref="A2:T2"/>
    <mergeCell ref="A4:A6"/>
    <mergeCell ref="B4:B6"/>
    <mergeCell ref="I5:I6"/>
    <mergeCell ref="C4:C6"/>
    <mergeCell ref="D4:D6"/>
    <mergeCell ref="E5:E6"/>
    <mergeCell ref="F5:H5"/>
    <mergeCell ref="S5:S6"/>
    <mergeCell ref="J5:J6"/>
    <mergeCell ref="K5:K6"/>
    <mergeCell ref="L5:L6"/>
    <mergeCell ref="M5:M6"/>
    <mergeCell ref="N5:N6"/>
  </mergeCells>
  <pageMargins left="0.11811023622047245" right="0" top="0.55118110236220474" bottom="0.15748031496062992" header="0.31496062992125984" footer="0.31496062992125984"/>
  <pageSetup paperSize="9" scale="80" orientation="landscape"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topLeftCell="A16" workbookViewId="0">
      <selection activeCell="C4" sqref="C4:J4"/>
    </sheetView>
  </sheetViews>
  <sheetFormatPr defaultColWidth="9.140625" defaultRowHeight="12.75"/>
  <cols>
    <col min="1" max="1" width="5.28515625" style="609" customWidth="1"/>
    <col min="2" max="2" width="16.28515625" style="609" customWidth="1"/>
    <col min="3" max="3" width="10.42578125" style="609" customWidth="1"/>
    <col min="4" max="4" width="9.7109375" style="609" customWidth="1"/>
    <col min="5" max="5" width="9.5703125" style="609" customWidth="1"/>
    <col min="6" max="6" width="6.7109375" style="609" customWidth="1"/>
    <col min="7" max="7" width="6.5703125" style="609" customWidth="1"/>
    <col min="8" max="8" width="8.42578125" style="609" customWidth="1"/>
    <col min="9" max="10" width="8.7109375" style="609" customWidth="1"/>
    <col min="11" max="11" width="9.5703125" style="609" customWidth="1"/>
    <col min="12" max="12" width="9.7109375" style="609" customWidth="1"/>
    <col min="13" max="13" width="7.140625" style="609" customWidth="1"/>
    <col min="14" max="14" width="6.42578125" style="609" customWidth="1"/>
    <col min="15" max="15" width="8.140625" style="609" customWidth="1"/>
    <col min="16" max="16" width="9" style="609" customWidth="1"/>
    <col min="17" max="17" width="8.42578125" style="609" customWidth="1"/>
    <col min="18" max="18" width="9" style="609" customWidth="1"/>
    <col min="19" max="19" width="8" style="609" customWidth="1"/>
    <col min="20" max="20" width="7.5703125" style="609" customWidth="1"/>
    <col min="21" max="21" width="7.42578125" style="609" customWidth="1"/>
    <col min="22" max="22" width="20.5703125" style="609" customWidth="1"/>
    <col min="23" max="23" width="9.5703125" style="609" customWidth="1"/>
    <col min="24" max="41" width="8.5703125" style="609" customWidth="1"/>
    <col min="42" max="16384" width="9.140625" style="609"/>
  </cols>
  <sheetData>
    <row r="1" spans="1:41" ht="16.5">
      <c r="A1" s="1015" t="s">
        <v>869</v>
      </c>
      <c r="B1" s="1015"/>
      <c r="C1" s="1015"/>
      <c r="D1" s="1015"/>
      <c r="E1" s="1015"/>
      <c r="F1" s="1015"/>
      <c r="G1" s="1015"/>
      <c r="H1" s="1015"/>
      <c r="I1" s="1015"/>
      <c r="J1" s="1015"/>
      <c r="K1" s="1015"/>
      <c r="L1" s="1015"/>
      <c r="M1" s="1015"/>
      <c r="N1" s="1015"/>
      <c r="O1" s="1015"/>
      <c r="P1" s="1015"/>
      <c r="Q1" s="1015"/>
      <c r="R1" s="1015"/>
      <c r="S1" s="1015"/>
      <c r="T1" s="1015"/>
      <c r="U1" s="1015"/>
    </row>
    <row r="2" spans="1:41" ht="18.75">
      <c r="A2" s="1078" t="s">
        <v>644</v>
      </c>
      <c r="B2" s="1078"/>
      <c r="C2" s="1078"/>
      <c r="D2" s="1078"/>
      <c r="E2" s="1078"/>
      <c r="F2" s="1078"/>
      <c r="G2" s="1078"/>
      <c r="H2" s="1078"/>
      <c r="I2" s="1078"/>
      <c r="J2" s="1078"/>
      <c r="K2" s="1078"/>
      <c r="L2" s="1078"/>
      <c r="M2" s="1078"/>
      <c r="N2" s="1078"/>
      <c r="O2" s="1078"/>
      <c r="P2" s="1078"/>
      <c r="Q2" s="1078"/>
      <c r="R2" s="1078"/>
      <c r="S2" s="1078"/>
      <c r="T2" s="1078"/>
      <c r="U2" s="1078"/>
    </row>
    <row r="3" spans="1:41" ht="15.75">
      <c r="A3" s="1070" t="s">
        <v>872</v>
      </c>
      <c r="B3" s="1070"/>
      <c r="C3" s="1070"/>
      <c r="D3" s="1070"/>
      <c r="E3" s="1070"/>
      <c r="F3" s="1070"/>
      <c r="G3" s="1070"/>
      <c r="H3" s="1070"/>
      <c r="I3" s="1070"/>
      <c r="J3" s="1070"/>
      <c r="K3" s="1070"/>
      <c r="L3" s="1070"/>
      <c r="M3" s="1070"/>
      <c r="N3" s="1070"/>
      <c r="O3" s="1070"/>
      <c r="P3" s="1070"/>
      <c r="Q3" s="1070"/>
      <c r="R3" s="1070"/>
      <c r="S3" s="1070"/>
      <c r="T3" s="1070"/>
      <c r="U3" s="1070"/>
    </row>
    <row r="4" spans="1:41" ht="15.75" thickBot="1">
      <c r="A4" s="1079" t="s">
        <v>199</v>
      </c>
      <c r="B4" s="1079"/>
      <c r="C4" s="1079"/>
      <c r="D4" s="1079"/>
      <c r="E4" s="1079"/>
      <c r="F4" s="1079"/>
      <c r="G4" s="1079"/>
      <c r="H4" s="1079"/>
      <c r="I4" s="1079"/>
      <c r="J4" s="1079"/>
      <c r="K4" s="1079"/>
      <c r="L4" s="1079"/>
      <c r="M4" s="1079"/>
      <c r="N4" s="1079"/>
      <c r="O4" s="1079"/>
      <c r="P4" s="1079"/>
      <c r="Q4" s="1079"/>
      <c r="R4" s="1079"/>
      <c r="S4" s="1079"/>
      <c r="T4" s="1079"/>
      <c r="U4" s="1080"/>
    </row>
    <row r="5" spans="1:41" ht="20.25" customHeight="1">
      <c r="A5" s="1074" t="s">
        <v>11</v>
      </c>
      <c r="B5" s="1074" t="s">
        <v>611</v>
      </c>
      <c r="C5" s="1074" t="s">
        <v>612</v>
      </c>
      <c r="D5" s="1074" t="s">
        <v>613</v>
      </c>
      <c r="E5" s="1074"/>
      <c r="F5" s="1074"/>
      <c r="G5" s="1074"/>
      <c r="H5" s="1074"/>
      <c r="I5" s="1074"/>
      <c r="J5" s="1074"/>
      <c r="K5" s="1074"/>
      <c r="L5" s="1074"/>
      <c r="M5" s="1074"/>
      <c r="N5" s="1074"/>
      <c r="O5" s="1074"/>
      <c r="P5" s="1074"/>
      <c r="Q5" s="1074" t="s">
        <v>614</v>
      </c>
      <c r="R5" s="1074"/>
      <c r="S5" s="1074"/>
      <c r="T5" s="1074"/>
      <c r="U5" s="1081" t="s">
        <v>587</v>
      </c>
    </row>
    <row r="6" spans="1:41" ht="18" customHeight="1">
      <c r="A6" s="1074"/>
      <c r="B6" s="1074"/>
      <c r="C6" s="1074"/>
      <c r="D6" s="1074" t="s">
        <v>615</v>
      </c>
      <c r="E6" s="1074" t="s">
        <v>616</v>
      </c>
      <c r="F6" s="1074"/>
      <c r="G6" s="1074"/>
      <c r="H6" s="1074"/>
      <c r="I6" s="1074"/>
      <c r="J6" s="1074"/>
      <c r="K6" s="1074" t="s">
        <v>551</v>
      </c>
      <c r="L6" s="1074"/>
      <c r="M6" s="1074"/>
      <c r="N6" s="1074" t="s">
        <v>572</v>
      </c>
      <c r="O6" s="1074" t="s">
        <v>552</v>
      </c>
      <c r="P6" s="1074" t="s">
        <v>692</v>
      </c>
      <c r="Q6" s="1074" t="s">
        <v>615</v>
      </c>
      <c r="R6" s="1074" t="s">
        <v>617</v>
      </c>
      <c r="S6" s="1074" t="s">
        <v>618</v>
      </c>
      <c r="T6" s="1074" t="s">
        <v>619</v>
      </c>
      <c r="U6" s="1082"/>
    </row>
    <row r="7" spans="1:41" ht="18" customHeight="1">
      <c r="A7" s="1074"/>
      <c r="B7" s="1074"/>
      <c r="C7" s="1074"/>
      <c r="D7" s="1074"/>
      <c r="E7" s="1074" t="s">
        <v>615</v>
      </c>
      <c r="F7" s="1074" t="s">
        <v>471</v>
      </c>
      <c r="G7" s="1074"/>
      <c r="H7" s="1074" t="s">
        <v>620</v>
      </c>
      <c r="I7" s="1074" t="s">
        <v>691</v>
      </c>
      <c r="J7" s="1074" t="s">
        <v>548</v>
      </c>
      <c r="K7" s="1074" t="s">
        <v>615</v>
      </c>
      <c r="L7" s="1074" t="s">
        <v>471</v>
      </c>
      <c r="M7" s="1074"/>
      <c r="N7" s="1074"/>
      <c r="O7" s="1074"/>
      <c r="P7" s="1074"/>
      <c r="Q7" s="1074"/>
      <c r="R7" s="1074"/>
      <c r="S7" s="1074"/>
      <c r="T7" s="1074"/>
      <c r="U7" s="1082"/>
    </row>
    <row r="8" spans="1:41" ht="148.5" customHeight="1" thickBot="1">
      <c r="A8" s="1074"/>
      <c r="B8" s="1074"/>
      <c r="C8" s="1074"/>
      <c r="D8" s="1074"/>
      <c r="E8" s="1074"/>
      <c r="F8" s="785" t="s">
        <v>621</v>
      </c>
      <c r="G8" s="785" t="s">
        <v>597</v>
      </c>
      <c r="H8" s="1074"/>
      <c r="I8" s="1074"/>
      <c r="J8" s="1074"/>
      <c r="K8" s="1074"/>
      <c r="L8" s="785" t="s">
        <v>621</v>
      </c>
      <c r="M8" s="785" t="s">
        <v>781</v>
      </c>
      <c r="N8" s="1074"/>
      <c r="O8" s="1074"/>
      <c r="P8" s="1074"/>
      <c r="Q8" s="1074"/>
      <c r="R8" s="1074"/>
      <c r="S8" s="1074"/>
      <c r="T8" s="1074"/>
      <c r="U8" s="1083"/>
      <c r="W8" s="734" t="s">
        <v>737</v>
      </c>
      <c r="X8" s="734" t="s">
        <v>738</v>
      </c>
      <c r="Y8" s="734" t="s">
        <v>739</v>
      </c>
      <c r="Z8" s="734" t="s">
        <v>740</v>
      </c>
      <c r="AA8" s="734" t="s">
        <v>741</v>
      </c>
      <c r="AB8" s="734" t="s">
        <v>742</v>
      </c>
      <c r="AC8" s="734" t="s">
        <v>743</v>
      </c>
      <c r="AD8" s="734" t="s">
        <v>744</v>
      </c>
      <c r="AE8" s="734" t="s">
        <v>745</v>
      </c>
      <c r="AF8" s="734" t="s">
        <v>746</v>
      </c>
      <c r="AG8" s="734" t="s">
        <v>747</v>
      </c>
      <c r="AH8" s="734" t="s">
        <v>748</v>
      </c>
      <c r="AI8" s="734" t="s">
        <v>749</v>
      </c>
      <c r="AJ8" s="734" t="s">
        <v>750</v>
      </c>
      <c r="AK8" s="734" t="s">
        <v>751</v>
      </c>
      <c r="AL8" s="734" t="s">
        <v>752</v>
      </c>
      <c r="AM8" s="734" t="s">
        <v>753</v>
      </c>
      <c r="AN8" s="734" t="s">
        <v>754</v>
      </c>
      <c r="AO8" s="734" t="s">
        <v>755</v>
      </c>
    </row>
    <row r="9" spans="1:41" ht="26.25" thickBot="1">
      <c r="A9" s="786" t="s">
        <v>12</v>
      </c>
      <c r="B9" s="786" t="s">
        <v>13</v>
      </c>
      <c r="C9" s="786" t="s">
        <v>622</v>
      </c>
      <c r="D9" s="786" t="s">
        <v>623</v>
      </c>
      <c r="E9" s="786" t="s">
        <v>624</v>
      </c>
      <c r="F9" s="786">
        <v>4</v>
      </c>
      <c r="G9" s="786">
        <v>5</v>
      </c>
      <c r="H9" s="786">
        <v>6</v>
      </c>
      <c r="I9" s="786">
        <v>7</v>
      </c>
      <c r="J9" s="786">
        <v>8</v>
      </c>
      <c r="K9" s="786">
        <v>9</v>
      </c>
      <c r="L9" s="786">
        <v>10</v>
      </c>
      <c r="M9" s="786">
        <v>11</v>
      </c>
      <c r="N9" s="786">
        <v>12</v>
      </c>
      <c r="O9" s="786">
        <v>13</v>
      </c>
      <c r="P9" s="786">
        <v>14</v>
      </c>
      <c r="Q9" s="786" t="s">
        <v>625</v>
      </c>
      <c r="R9" s="786">
        <v>16</v>
      </c>
      <c r="S9" s="786">
        <v>17</v>
      </c>
      <c r="T9" s="786">
        <v>18</v>
      </c>
      <c r="U9" s="612">
        <v>19</v>
      </c>
    </row>
    <row r="10" spans="1:41" ht="16.5" customHeight="1">
      <c r="A10" s="782"/>
      <c r="B10" s="783" t="s">
        <v>626</v>
      </c>
      <c r="C10" s="784">
        <f>SUM(C11:C28)</f>
        <v>8570953</v>
      </c>
      <c r="D10" s="784">
        <f t="shared" ref="D10:U10" si="0">SUM(D11:D28)</f>
        <v>8463443</v>
      </c>
      <c r="E10" s="784">
        <f t="shared" si="0"/>
        <v>1354678</v>
      </c>
      <c r="F10" s="784">
        <f t="shared" si="0"/>
        <v>0</v>
      </c>
      <c r="G10" s="784">
        <f t="shared" si="0"/>
        <v>0</v>
      </c>
      <c r="H10" s="784">
        <f>SUM(H11:H28)</f>
        <v>760088</v>
      </c>
      <c r="I10" s="784">
        <f t="shared" si="0"/>
        <v>58090</v>
      </c>
      <c r="J10" s="784">
        <f t="shared" si="0"/>
        <v>536500</v>
      </c>
      <c r="K10" s="784">
        <f t="shared" si="0"/>
        <v>6772573</v>
      </c>
      <c r="L10" s="784">
        <f t="shared" si="0"/>
        <v>3068025</v>
      </c>
      <c r="M10" s="784">
        <f t="shared" si="0"/>
        <v>2550</v>
      </c>
      <c r="N10" s="784">
        <f t="shared" si="0"/>
        <v>0</v>
      </c>
      <c r="O10" s="784">
        <f t="shared" si="0"/>
        <v>106244</v>
      </c>
      <c r="P10" s="784">
        <f t="shared" si="0"/>
        <v>229948</v>
      </c>
      <c r="Q10" s="784">
        <f t="shared" si="0"/>
        <v>107510</v>
      </c>
      <c r="R10" s="784">
        <f t="shared" si="0"/>
        <v>107510</v>
      </c>
      <c r="S10" s="784">
        <f t="shared" si="0"/>
        <v>0</v>
      </c>
      <c r="T10" s="784">
        <f t="shared" si="0"/>
        <v>0</v>
      </c>
      <c r="U10" s="771">
        <f t="shared" si="0"/>
        <v>0</v>
      </c>
      <c r="V10" s="609" t="s">
        <v>620</v>
      </c>
      <c r="W10" s="740">
        <f>SUM(X10:AO10)</f>
        <v>760088</v>
      </c>
      <c r="X10" s="739">
        <f>'[1]DT 2018'!E6+'[1]DT 2018'!E10</f>
        <v>48043</v>
      </c>
      <c r="Y10" s="739">
        <f>'[1]DT 2018'!F6+'[1]DT 2018'!F10</f>
        <v>63305</v>
      </c>
      <c r="Z10" s="739">
        <f>'[1]DT 2018'!G6+'[1]DT 2018'!G10</f>
        <v>64418</v>
      </c>
      <c r="AA10" s="739">
        <f>'[1]DT 2018'!H6+'[1]DT 2018'!H10</f>
        <v>30435</v>
      </c>
      <c r="AB10" s="739">
        <f>'[1]DT 2018'!I6+'[1]DT 2018'!I10</f>
        <v>35444</v>
      </c>
      <c r="AC10" s="739">
        <f>'[1]DT 2018'!J6+'[1]DT 2018'!J10</f>
        <v>82255</v>
      </c>
      <c r="AD10" s="739">
        <f>'[1]DT 2018'!K6+'[1]DT 2018'!K10</f>
        <v>44038</v>
      </c>
      <c r="AE10" s="739">
        <f>'[1]DT 2018'!L6+'[1]DT 2018'!L10</f>
        <v>28099</v>
      </c>
      <c r="AF10" s="739">
        <f>'[1]DT 2018'!M6+'[1]DT 2018'!M10</f>
        <v>38758</v>
      </c>
      <c r="AG10" s="739">
        <f>'[1]DT 2018'!N6+'[1]DT 2018'!N10</f>
        <v>28287</v>
      </c>
      <c r="AH10" s="739">
        <f>'[1]DT 2018'!O6+'[1]DT 2018'!O10</f>
        <v>37284</v>
      </c>
      <c r="AI10" s="739">
        <f>'[1]DT 2018'!P6+'[1]DT 2018'!P10</f>
        <v>36315</v>
      </c>
      <c r="AJ10" s="739">
        <f>'[1]DT 2018'!Q6+'[1]DT 2018'!Q10</f>
        <v>53829</v>
      </c>
      <c r="AK10" s="739">
        <f>'[1]DT 2018'!R6+'[1]DT 2018'!R10</f>
        <v>31860</v>
      </c>
      <c r="AL10" s="739">
        <f>'[1]DT 2018'!S6+'[1]DT 2018'!S10</f>
        <v>26884</v>
      </c>
      <c r="AM10" s="739">
        <f>'[1]DT 2018'!T6+'[1]DT 2018'!T10</f>
        <v>36067</v>
      </c>
      <c r="AN10" s="739">
        <f>'[1]DT 2018'!U6+'[1]DT 2018'!U10</f>
        <v>34828</v>
      </c>
      <c r="AO10" s="739">
        <f>'[1]DT 2018'!V6+'[1]DT 2018'!V10</f>
        <v>39939</v>
      </c>
    </row>
    <row r="11" spans="1:41" ht="15.75">
      <c r="A11" s="774">
        <v>1</v>
      </c>
      <c r="B11" s="777" t="s">
        <v>673</v>
      </c>
      <c r="C11" s="775">
        <f>D11+Q11+U11</f>
        <v>671982</v>
      </c>
      <c r="D11" s="775">
        <f>E11+K11+N11+O11+P11</f>
        <v>671982</v>
      </c>
      <c r="E11" s="775">
        <f>H11+I11+J11</f>
        <v>218043</v>
      </c>
      <c r="F11" s="775"/>
      <c r="G11" s="775"/>
      <c r="H11" s="778">
        <f>$X10</f>
        <v>48043</v>
      </c>
      <c r="I11" s="778">
        <f>$X11</f>
        <v>0</v>
      </c>
      <c r="J11" s="778">
        <f>$X12</f>
        <v>170000</v>
      </c>
      <c r="K11" s="778">
        <f>$X13</f>
        <v>425521</v>
      </c>
      <c r="L11" s="778">
        <f>$X14</f>
        <v>170107</v>
      </c>
      <c r="M11" s="778">
        <f>$X18</f>
        <v>170</v>
      </c>
      <c r="N11" s="775"/>
      <c r="O11" s="778">
        <f>$X15</f>
        <v>6740</v>
      </c>
      <c r="P11" s="778">
        <f>$X16</f>
        <v>21678</v>
      </c>
      <c r="Q11" s="775">
        <f>R11+S11+T11</f>
        <v>0</v>
      </c>
      <c r="R11" s="778">
        <f>$X17</f>
        <v>0</v>
      </c>
      <c r="S11" s="775"/>
      <c r="T11" s="775"/>
      <c r="U11" s="772"/>
      <c r="V11" s="609" t="s">
        <v>766</v>
      </c>
      <c r="W11" s="740">
        <f t="shared" ref="W11:W18" si="1">SUM(X11:AO11)</f>
        <v>58090</v>
      </c>
      <c r="X11" s="739">
        <f>'[1]DT 2018'!E13+'[1]DT 2018'!E19</f>
        <v>0</v>
      </c>
      <c r="Y11" s="739">
        <f>'[1]DT 2018'!F13+'[1]DT 2018'!F19</f>
        <v>25800</v>
      </c>
      <c r="Z11" s="739">
        <f>'[1]DT 2018'!G13+'[1]DT 2018'!G19</f>
        <v>15000</v>
      </c>
      <c r="AA11" s="739">
        <f>'[1]DT 2018'!H13+'[1]DT 2018'!H19</f>
        <v>2500</v>
      </c>
      <c r="AB11" s="739">
        <f>'[1]DT 2018'!I13+'[1]DT 2018'!I19</f>
        <v>2000</v>
      </c>
      <c r="AC11" s="739">
        <f>'[1]DT 2018'!J13+'[1]DT 2018'!J19</f>
        <v>0</v>
      </c>
      <c r="AD11" s="739">
        <f>'[1]DT 2018'!K13+'[1]DT 2018'!K19</f>
        <v>4990</v>
      </c>
      <c r="AE11" s="739">
        <f>'[1]DT 2018'!L13+'[1]DT 2018'!L19</f>
        <v>0</v>
      </c>
      <c r="AF11" s="739">
        <f>'[1]DT 2018'!M13+'[1]DT 2018'!M19</f>
        <v>0</v>
      </c>
      <c r="AG11" s="739">
        <f>'[1]DT 2018'!N13+'[1]DT 2018'!N19</f>
        <v>0</v>
      </c>
      <c r="AH11" s="739">
        <f>'[1]DT 2018'!O13+'[1]DT 2018'!O19</f>
        <v>4500</v>
      </c>
      <c r="AI11" s="739">
        <f>'[1]DT 2018'!P13+'[1]DT 2018'!P19</f>
        <v>500</v>
      </c>
      <c r="AJ11" s="739">
        <f>'[1]DT 2018'!Q13+'[1]DT 2018'!Q19</f>
        <v>1500</v>
      </c>
      <c r="AK11" s="739">
        <f>'[1]DT 2018'!R13+'[1]DT 2018'!R19</f>
        <v>0</v>
      </c>
      <c r="AL11" s="739">
        <f>'[1]DT 2018'!S13+'[1]DT 2018'!S19</f>
        <v>0</v>
      </c>
      <c r="AM11" s="739">
        <f>'[1]DT 2018'!T13+'[1]DT 2018'!T19</f>
        <v>800</v>
      </c>
      <c r="AN11" s="739">
        <f>'[1]DT 2018'!U13+'[1]DT 2018'!U19</f>
        <v>500</v>
      </c>
      <c r="AO11" s="739">
        <f>'[1]DT 2018'!V13+'[1]DT 2018'!V19</f>
        <v>0</v>
      </c>
    </row>
    <row r="12" spans="1:41" ht="15.75">
      <c r="A12" s="774">
        <v>2</v>
      </c>
      <c r="B12" s="777" t="s">
        <v>674</v>
      </c>
      <c r="C12" s="775">
        <f t="shared" ref="C12:C28" si="2">D12+Q12+U12</f>
        <v>680414</v>
      </c>
      <c r="D12" s="775">
        <f t="shared" ref="D12:D28" si="3">E12+K12+N12+O12+P12</f>
        <v>680414</v>
      </c>
      <c r="E12" s="775">
        <f t="shared" ref="E12:E28" si="4">H12+I12+J12</f>
        <v>269105</v>
      </c>
      <c r="F12" s="775"/>
      <c r="G12" s="775"/>
      <c r="H12" s="778">
        <f>$Y10</f>
        <v>63305</v>
      </c>
      <c r="I12" s="778">
        <f>$Y11</f>
        <v>25800</v>
      </c>
      <c r="J12" s="778">
        <f>$Y12</f>
        <v>180000</v>
      </c>
      <c r="K12" s="778">
        <f>$Y13</f>
        <v>383307</v>
      </c>
      <c r="L12" s="778">
        <f>$Y14</f>
        <v>150197</v>
      </c>
      <c r="M12" s="778">
        <f>$Y18</f>
        <v>170</v>
      </c>
      <c r="N12" s="775"/>
      <c r="O12" s="778">
        <f>$Y15</f>
        <v>6032</v>
      </c>
      <c r="P12" s="778">
        <f>$Y16</f>
        <v>21970</v>
      </c>
      <c r="Q12" s="775">
        <f t="shared" ref="Q12:Q28" si="5">R12+S12+T12</f>
        <v>0</v>
      </c>
      <c r="R12" s="778">
        <f>$Y17</f>
        <v>0</v>
      </c>
      <c r="S12" s="775"/>
      <c r="T12" s="775"/>
      <c r="U12" s="772"/>
      <c r="V12" s="609" t="s">
        <v>758</v>
      </c>
      <c r="W12" s="740">
        <f t="shared" si="1"/>
        <v>536500</v>
      </c>
      <c r="X12" s="739">
        <f>'[1]DT 2018'!E23</f>
        <v>170000</v>
      </c>
      <c r="Y12" s="739">
        <f>'[1]DT 2018'!F23</f>
        <v>180000</v>
      </c>
      <c r="Z12" s="739">
        <f>'[1]DT 2018'!G23</f>
        <v>70000</v>
      </c>
      <c r="AA12" s="739">
        <f>'[1]DT 2018'!H23</f>
        <v>15000</v>
      </c>
      <c r="AB12" s="739">
        <f>'[1]DT 2018'!I23</f>
        <v>25000</v>
      </c>
      <c r="AC12" s="739">
        <f>'[1]DT 2018'!J23</f>
        <v>10000</v>
      </c>
      <c r="AD12" s="739">
        <f>'[1]DT 2018'!K23</f>
        <v>20000</v>
      </c>
      <c r="AE12" s="739">
        <f>'[1]DT 2018'!L23</f>
        <v>13500</v>
      </c>
      <c r="AF12" s="739">
        <f>'[1]DT 2018'!M23</f>
        <v>5500</v>
      </c>
      <c r="AG12" s="739">
        <f>'[1]DT 2018'!N23</f>
        <v>3200</v>
      </c>
      <c r="AH12" s="739">
        <f>'[1]DT 2018'!O23</f>
        <v>5000</v>
      </c>
      <c r="AI12" s="739">
        <f>'[1]DT 2018'!P23</f>
        <v>1500</v>
      </c>
      <c r="AJ12" s="739">
        <f>'[1]DT 2018'!Q23</f>
        <v>1500</v>
      </c>
      <c r="AK12" s="739">
        <f>'[1]DT 2018'!R23</f>
        <v>1000</v>
      </c>
      <c r="AL12" s="739">
        <f>'[1]DT 2018'!S23</f>
        <v>3000</v>
      </c>
      <c r="AM12" s="739">
        <f>'[1]DT 2018'!T23</f>
        <v>300</v>
      </c>
      <c r="AN12" s="739">
        <f>'[1]DT 2018'!U23</f>
        <v>5000</v>
      </c>
      <c r="AO12" s="739">
        <f>'[1]DT 2018'!V23</f>
        <v>7000</v>
      </c>
    </row>
    <row r="13" spans="1:41" ht="15.75">
      <c r="A13" s="774">
        <v>3</v>
      </c>
      <c r="B13" s="777" t="s">
        <v>675</v>
      </c>
      <c r="C13" s="775">
        <f t="shared" si="2"/>
        <v>903569</v>
      </c>
      <c r="D13" s="775">
        <f t="shared" si="3"/>
        <v>899569</v>
      </c>
      <c r="E13" s="775">
        <f t="shared" si="4"/>
        <v>149418</v>
      </c>
      <c r="F13" s="775"/>
      <c r="G13" s="775"/>
      <c r="H13" s="778">
        <f>$Z10</f>
        <v>64418</v>
      </c>
      <c r="I13" s="778">
        <f>$Z11</f>
        <v>15000</v>
      </c>
      <c r="J13" s="778">
        <f>$Z12</f>
        <v>70000</v>
      </c>
      <c r="K13" s="778">
        <f>$Z13</f>
        <v>685358</v>
      </c>
      <c r="L13" s="778">
        <f>$Z14</f>
        <v>286063</v>
      </c>
      <c r="M13" s="778">
        <f>$Z18</f>
        <v>150</v>
      </c>
      <c r="N13" s="775"/>
      <c r="O13" s="778">
        <f>$Z15</f>
        <v>10050</v>
      </c>
      <c r="P13" s="778">
        <f>$Z16</f>
        <v>54743</v>
      </c>
      <c r="Q13" s="775">
        <f t="shared" si="5"/>
        <v>4000</v>
      </c>
      <c r="R13" s="778">
        <f>$Z17</f>
        <v>4000</v>
      </c>
      <c r="S13" s="775"/>
      <c r="T13" s="775"/>
      <c r="U13" s="772"/>
      <c r="V13" s="609" t="s">
        <v>551</v>
      </c>
      <c r="W13" s="740">
        <f t="shared" si="1"/>
        <v>6772573</v>
      </c>
      <c r="X13" s="739">
        <f>'[1]DT 2018'!E101</f>
        <v>425521</v>
      </c>
      <c r="Y13" s="739">
        <f>'[1]DT 2018'!F101</f>
        <v>383307</v>
      </c>
      <c r="Z13" s="739">
        <f>'[1]DT 2018'!G101</f>
        <v>685358</v>
      </c>
      <c r="AA13" s="739">
        <f>'[1]DT 2018'!H101</f>
        <v>494703</v>
      </c>
      <c r="AB13" s="739">
        <f>'[1]DT 2018'!I101</f>
        <v>599475</v>
      </c>
      <c r="AC13" s="739">
        <f>'[1]DT 2018'!J101</f>
        <v>505474</v>
      </c>
      <c r="AD13" s="739">
        <f>'[1]DT 2018'!K101</f>
        <v>628957</v>
      </c>
      <c r="AE13" s="739">
        <f>'[1]DT 2018'!L101</f>
        <v>296789</v>
      </c>
      <c r="AF13" s="739">
        <f>'[1]DT 2018'!M101</f>
        <v>410552</v>
      </c>
      <c r="AG13" s="739">
        <f>'[1]DT 2018'!N101</f>
        <v>191419</v>
      </c>
      <c r="AH13" s="739">
        <f>'[1]DT 2018'!O101</f>
        <v>367133</v>
      </c>
      <c r="AI13" s="739">
        <f>'[1]DT 2018'!P101</f>
        <v>269038</v>
      </c>
      <c r="AJ13" s="739">
        <f>'[1]DT 2018'!Q101</f>
        <v>249931</v>
      </c>
      <c r="AK13" s="739">
        <f>'[1]DT 2018'!R101</f>
        <v>233028</v>
      </c>
      <c r="AL13" s="739">
        <f>'[1]DT 2018'!S101</f>
        <v>213845</v>
      </c>
      <c r="AM13" s="739">
        <f>'[1]DT 2018'!T101</f>
        <v>262645</v>
      </c>
      <c r="AN13" s="739">
        <f>'[1]DT 2018'!U101</f>
        <v>316099</v>
      </c>
      <c r="AO13" s="739">
        <f>'[1]DT 2018'!V101</f>
        <v>239299</v>
      </c>
    </row>
    <row r="14" spans="1:41" ht="15.75">
      <c r="A14" s="774">
        <v>4</v>
      </c>
      <c r="B14" s="777" t="s">
        <v>677</v>
      </c>
      <c r="C14" s="775">
        <f t="shared" si="2"/>
        <v>574881</v>
      </c>
      <c r="D14" s="775">
        <f t="shared" si="3"/>
        <v>574881</v>
      </c>
      <c r="E14" s="775">
        <f t="shared" si="4"/>
        <v>47935</v>
      </c>
      <c r="F14" s="775"/>
      <c r="G14" s="775"/>
      <c r="H14" s="778">
        <f>$AA10</f>
        <v>30435</v>
      </c>
      <c r="I14" s="778">
        <f>$AA11</f>
        <v>2500</v>
      </c>
      <c r="J14" s="778">
        <f>$AA12</f>
        <v>15000</v>
      </c>
      <c r="K14" s="778">
        <f>$AA13</f>
        <v>494703</v>
      </c>
      <c r="L14" s="778">
        <f>$AA14</f>
        <v>237025</v>
      </c>
      <c r="M14" s="778">
        <f>$AA18</f>
        <v>130</v>
      </c>
      <c r="N14" s="775"/>
      <c r="O14" s="778">
        <f>$AA15</f>
        <v>7988</v>
      </c>
      <c r="P14" s="778">
        <f>$AA16</f>
        <v>24255</v>
      </c>
      <c r="Q14" s="775">
        <f t="shared" si="5"/>
        <v>0</v>
      </c>
      <c r="R14" s="778">
        <f>$AA17</f>
        <v>0</v>
      </c>
      <c r="S14" s="775"/>
      <c r="T14" s="775"/>
      <c r="U14" s="772"/>
      <c r="V14" s="609" t="s">
        <v>759</v>
      </c>
      <c r="W14" s="740">
        <f t="shared" si="1"/>
        <v>3068025</v>
      </c>
      <c r="X14" s="739">
        <f>'[1]DT 2018'!E102</f>
        <v>170107</v>
      </c>
      <c r="Y14" s="739">
        <f>'[1]DT 2018'!F102</f>
        <v>150197</v>
      </c>
      <c r="Z14" s="739">
        <f>'[1]DT 2018'!G102</f>
        <v>286063</v>
      </c>
      <c r="AA14" s="739">
        <f>'[1]DT 2018'!H102</f>
        <v>237025</v>
      </c>
      <c r="AB14" s="739">
        <f>'[1]DT 2018'!I102</f>
        <v>287391</v>
      </c>
      <c r="AC14" s="739">
        <f>'[1]DT 2018'!J102</f>
        <v>240133</v>
      </c>
      <c r="AD14" s="739">
        <f>'[1]DT 2018'!K102</f>
        <v>331156</v>
      </c>
      <c r="AE14" s="739">
        <f>'[1]DT 2018'!L102</f>
        <v>132900</v>
      </c>
      <c r="AF14" s="739">
        <f>'[1]DT 2018'!M102</f>
        <v>185897</v>
      </c>
      <c r="AG14" s="739">
        <f>'[1]DT 2018'!N102</f>
        <v>72076</v>
      </c>
      <c r="AH14" s="739">
        <f>'[1]DT 2018'!O102</f>
        <v>173120</v>
      </c>
      <c r="AI14" s="739">
        <f>'[1]DT 2018'!P102</f>
        <v>117601</v>
      </c>
      <c r="AJ14" s="739">
        <f>'[1]DT 2018'!Q102</f>
        <v>104432</v>
      </c>
      <c r="AK14" s="739">
        <f>'[1]DT 2018'!R102</f>
        <v>95977</v>
      </c>
      <c r="AL14" s="739">
        <f>'[1]DT 2018'!S102</f>
        <v>86204</v>
      </c>
      <c r="AM14" s="739">
        <f>'[1]DT 2018'!T102</f>
        <v>109213</v>
      </c>
      <c r="AN14" s="739">
        <f>'[1]DT 2018'!U102</f>
        <v>168006</v>
      </c>
      <c r="AO14" s="739">
        <f>'[1]DT 2018'!V102</f>
        <v>120527</v>
      </c>
    </row>
    <row r="15" spans="1:41" ht="15.75">
      <c r="A15" s="774">
        <v>5</v>
      </c>
      <c r="B15" s="777" t="s">
        <v>678</v>
      </c>
      <c r="C15" s="775">
        <f t="shared" si="2"/>
        <v>704473</v>
      </c>
      <c r="D15" s="775">
        <f t="shared" si="3"/>
        <v>679473</v>
      </c>
      <c r="E15" s="775">
        <f t="shared" si="4"/>
        <v>62444</v>
      </c>
      <c r="F15" s="775"/>
      <c r="G15" s="775"/>
      <c r="H15" s="778">
        <f>$AB10</f>
        <v>35444</v>
      </c>
      <c r="I15" s="778">
        <f>$AB11</f>
        <v>2000</v>
      </c>
      <c r="J15" s="778">
        <f>$AB12</f>
        <v>25000</v>
      </c>
      <c r="K15" s="778">
        <f>$AB13</f>
        <v>599475</v>
      </c>
      <c r="L15" s="778">
        <f>$AB14</f>
        <v>287391</v>
      </c>
      <c r="M15" s="778">
        <f>$AB18</f>
        <v>150</v>
      </c>
      <c r="N15" s="775"/>
      <c r="O15" s="778">
        <f>$AB15</f>
        <v>9084</v>
      </c>
      <c r="P15" s="778">
        <f>$AB16</f>
        <v>8470</v>
      </c>
      <c r="Q15" s="775">
        <f t="shared" si="5"/>
        <v>25000</v>
      </c>
      <c r="R15" s="778">
        <f>$AB17</f>
        <v>25000</v>
      </c>
      <c r="S15" s="775"/>
      <c r="T15" s="775"/>
      <c r="U15" s="772"/>
      <c r="V15" s="609" t="s">
        <v>760</v>
      </c>
      <c r="W15" s="740">
        <f t="shared" si="1"/>
        <v>106244</v>
      </c>
      <c r="X15" s="739">
        <f>'[1]DT 2018'!E79</f>
        <v>6740</v>
      </c>
      <c r="Y15" s="739">
        <f>'[1]DT 2018'!F79</f>
        <v>6032</v>
      </c>
      <c r="Z15" s="739">
        <f>'[1]DT 2018'!G79</f>
        <v>10050</v>
      </c>
      <c r="AA15" s="739">
        <f>'[1]DT 2018'!H79</f>
        <v>7988</v>
      </c>
      <c r="AB15" s="739">
        <f>'[1]DT 2018'!I79</f>
        <v>9084</v>
      </c>
      <c r="AC15" s="739">
        <f>'[1]DT 2018'!J79</f>
        <v>8823</v>
      </c>
      <c r="AD15" s="739">
        <f>'[1]DT 2018'!K79</f>
        <v>9659</v>
      </c>
      <c r="AE15" s="739">
        <f>'[1]DT 2018'!L79</f>
        <v>4556</v>
      </c>
      <c r="AF15" s="739">
        <f>'[1]DT 2018'!M79</f>
        <v>6048</v>
      </c>
      <c r="AG15" s="739">
        <f>'[1]DT 2018'!N79</f>
        <v>2850</v>
      </c>
      <c r="AH15" s="739">
        <f>'[1]DT 2018'!O79</f>
        <v>5651</v>
      </c>
      <c r="AI15" s="739">
        <f>'[1]DT 2018'!P79</f>
        <v>4193</v>
      </c>
      <c r="AJ15" s="739">
        <f>'[1]DT 2018'!Q79</f>
        <v>4357</v>
      </c>
      <c r="AK15" s="739">
        <f>'[1]DT 2018'!R79</f>
        <v>3879</v>
      </c>
      <c r="AL15" s="739">
        <f>'[1]DT 2018'!S79</f>
        <v>3335</v>
      </c>
      <c r="AM15" s="739">
        <f>'[1]DT 2018'!T79</f>
        <v>4122</v>
      </c>
      <c r="AN15" s="739">
        <f>'[1]DT 2018'!U79</f>
        <v>5210</v>
      </c>
      <c r="AO15" s="739">
        <f>'[1]DT 2018'!V79</f>
        <v>3667</v>
      </c>
    </row>
    <row r="16" spans="1:41" ht="15.75">
      <c r="A16" s="774">
        <v>6</v>
      </c>
      <c r="B16" s="777" t="s">
        <v>676</v>
      </c>
      <c r="C16" s="775">
        <f t="shared" si="2"/>
        <v>640375</v>
      </c>
      <c r="D16" s="775">
        <f t="shared" si="3"/>
        <v>636375</v>
      </c>
      <c r="E16" s="775">
        <f t="shared" si="4"/>
        <v>92255</v>
      </c>
      <c r="F16" s="775"/>
      <c r="G16" s="775"/>
      <c r="H16" s="778">
        <f>$AC10</f>
        <v>82255</v>
      </c>
      <c r="I16" s="778">
        <f>$AC11</f>
        <v>0</v>
      </c>
      <c r="J16" s="778">
        <f>$AC12</f>
        <v>10000</v>
      </c>
      <c r="K16" s="778">
        <f>$AC13</f>
        <v>505474</v>
      </c>
      <c r="L16" s="778">
        <f>$AC14</f>
        <v>240133</v>
      </c>
      <c r="M16" s="778">
        <f>$AC18</f>
        <v>170</v>
      </c>
      <c r="N16" s="775"/>
      <c r="O16" s="778">
        <f>$AC15</f>
        <v>8823</v>
      </c>
      <c r="P16" s="778">
        <f>$AC16</f>
        <v>29823</v>
      </c>
      <c r="Q16" s="775">
        <f t="shared" si="5"/>
        <v>4000</v>
      </c>
      <c r="R16" s="778">
        <f>$AC17</f>
        <v>4000</v>
      </c>
      <c r="S16" s="775"/>
      <c r="T16" s="775"/>
      <c r="U16" s="772"/>
      <c r="V16" s="609" t="s">
        <v>694</v>
      </c>
      <c r="W16" s="740">
        <f t="shared" si="1"/>
        <v>229948</v>
      </c>
      <c r="X16" s="739">
        <f>'[1]DT 2018'!E83+'[1]DT 2018'!E99</f>
        <v>21678</v>
      </c>
      <c r="Y16" s="739">
        <f>'[1]DT 2018'!F83+'[1]DT 2018'!F99</f>
        <v>21970</v>
      </c>
      <c r="Z16" s="739">
        <f>'[1]DT 2018'!G83+'[1]DT 2018'!G99</f>
        <v>54743</v>
      </c>
      <c r="AA16" s="739">
        <f>'[1]DT 2018'!H83+'[1]DT 2018'!H99</f>
        <v>24255</v>
      </c>
      <c r="AB16" s="739">
        <f>'[1]DT 2018'!I83+'[1]DT 2018'!I99</f>
        <v>8470</v>
      </c>
      <c r="AC16" s="739">
        <f>'[1]DT 2018'!J83+'[1]DT 2018'!J99</f>
        <v>29823</v>
      </c>
      <c r="AD16" s="739">
        <f>'[1]DT 2018'!K83+'[1]DT 2018'!K99</f>
        <v>17546</v>
      </c>
      <c r="AE16" s="739">
        <f>'[1]DT 2018'!L83+'[1]DT 2018'!L99</f>
        <v>5245</v>
      </c>
      <c r="AF16" s="739">
        <f>'[1]DT 2018'!M83+'[1]DT 2018'!M99</f>
        <v>5102</v>
      </c>
      <c r="AG16" s="739">
        <f>'[1]DT 2018'!N83+'[1]DT 2018'!N99</f>
        <v>4103</v>
      </c>
      <c r="AH16" s="739">
        <f>'[1]DT 2018'!O83+'[1]DT 2018'!O99</f>
        <v>3711</v>
      </c>
      <c r="AI16" s="739">
        <f>'[1]DT 2018'!P83+'[1]DT 2018'!P99</f>
        <v>2527</v>
      </c>
      <c r="AJ16" s="739">
        <f>'[1]DT 2018'!Q83+'[1]DT 2018'!Q99</f>
        <v>10246</v>
      </c>
      <c r="AK16" s="739">
        <f>'[1]DT 2018'!R83+'[1]DT 2018'!R99</f>
        <v>2715</v>
      </c>
      <c r="AL16" s="739">
        <f>'[1]DT 2018'!S83+'[1]DT 2018'!S99</f>
        <v>5379</v>
      </c>
      <c r="AM16" s="739">
        <f>'[1]DT 2018'!T83+'[1]DT 2018'!T99</f>
        <v>2708</v>
      </c>
      <c r="AN16" s="739">
        <f>'[1]DT 2018'!U83+'[1]DT 2018'!U99</f>
        <v>5236</v>
      </c>
      <c r="AO16" s="739">
        <f>'[1]DT 2018'!V83+'[1]DT 2018'!V99</f>
        <v>4491</v>
      </c>
    </row>
    <row r="17" spans="1:41" ht="15.75">
      <c r="A17" s="774">
        <v>7</v>
      </c>
      <c r="B17" s="777" t="s">
        <v>679</v>
      </c>
      <c r="C17" s="775">
        <f t="shared" si="2"/>
        <v>725190</v>
      </c>
      <c r="D17" s="775">
        <f t="shared" si="3"/>
        <v>725190</v>
      </c>
      <c r="E17" s="775">
        <f t="shared" si="4"/>
        <v>69028</v>
      </c>
      <c r="F17" s="775"/>
      <c r="G17" s="775"/>
      <c r="H17" s="778">
        <f>$AD10</f>
        <v>44038</v>
      </c>
      <c r="I17" s="778">
        <f>$AD11</f>
        <v>4990</v>
      </c>
      <c r="J17" s="778">
        <f>$AD12</f>
        <v>20000</v>
      </c>
      <c r="K17" s="778">
        <f>$AD13</f>
        <v>628957</v>
      </c>
      <c r="L17" s="778">
        <f>$AD14</f>
        <v>331156</v>
      </c>
      <c r="M17" s="778">
        <f>$AD18</f>
        <v>120</v>
      </c>
      <c r="N17" s="775"/>
      <c r="O17" s="778">
        <f>$AD15</f>
        <v>9659</v>
      </c>
      <c r="P17" s="778">
        <f>$AD16</f>
        <v>17546</v>
      </c>
      <c r="Q17" s="775">
        <f t="shared" si="5"/>
        <v>0</v>
      </c>
      <c r="R17" s="778">
        <f>$AD17</f>
        <v>0</v>
      </c>
      <c r="S17" s="775"/>
      <c r="T17" s="775"/>
      <c r="U17" s="772"/>
      <c r="V17" s="609" t="s">
        <v>504</v>
      </c>
      <c r="W17" s="740">
        <f t="shared" si="1"/>
        <v>107510</v>
      </c>
      <c r="X17" s="609">
        <f>'[1]DT 2018'!E17</f>
        <v>0</v>
      </c>
      <c r="Y17" s="609">
        <f>'[1]DT 2018'!F17</f>
        <v>0</v>
      </c>
      <c r="Z17" s="609">
        <f>'[1]DT 2018'!G17</f>
        <v>4000</v>
      </c>
      <c r="AA17" s="609">
        <f>'[1]DT 2018'!H17</f>
        <v>0</v>
      </c>
      <c r="AB17" s="609">
        <f>'[1]DT 2018'!I17</f>
        <v>25000</v>
      </c>
      <c r="AC17" s="609">
        <f>'[1]DT 2018'!J17</f>
        <v>4000</v>
      </c>
      <c r="AD17" s="609">
        <f>'[1]DT 2018'!K17</f>
        <v>0</v>
      </c>
      <c r="AE17" s="609">
        <f>'[1]DT 2018'!L17</f>
        <v>8000</v>
      </c>
      <c r="AF17" s="609">
        <f>'[1]DT 2018'!M17</f>
        <v>20000</v>
      </c>
      <c r="AG17" s="609">
        <f>'[1]DT 2018'!N17</f>
        <v>4000</v>
      </c>
      <c r="AH17" s="609">
        <f>'[1]DT 2018'!O17</f>
        <v>0</v>
      </c>
      <c r="AI17" s="609">
        <f>'[1]DT 2018'!P17</f>
        <v>0</v>
      </c>
      <c r="AJ17" s="609">
        <f>'[1]DT 2018'!Q17</f>
        <v>17510</v>
      </c>
      <c r="AK17" s="609">
        <f>'[1]DT 2018'!R17</f>
        <v>0</v>
      </c>
      <c r="AL17" s="609">
        <f>'[1]DT 2018'!S17</f>
        <v>0</v>
      </c>
      <c r="AM17" s="609">
        <f>'[1]DT 2018'!T17</f>
        <v>0</v>
      </c>
      <c r="AN17" s="609">
        <f>'[1]DT 2018'!U17</f>
        <v>0</v>
      </c>
      <c r="AO17" s="609">
        <f>'[1]DT 2018'!V17</f>
        <v>25000</v>
      </c>
    </row>
    <row r="18" spans="1:41" ht="15.75">
      <c r="A18" s="774">
        <v>8</v>
      </c>
      <c r="B18" s="777" t="s">
        <v>680</v>
      </c>
      <c r="C18" s="775">
        <f t="shared" si="2"/>
        <v>356189</v>
      </c>
      <c r="D18" s="775">
        <f t="shared" si="3"/>
        <v>348189</v>
      </c>
      <c r="E18" s="775">
        <f t="shared" si="4"/>
        <v>41599</v>
      </c>
      <c r="F18" s="775"/>
      <c r="G18" s="775"/>
      <c r="H18" s="778">
        <f>$AE10</f>
        <v>28099</v>
      </c>
      <c r="I18" s="778">
        <f>$AE11</f>
        <v>0</v>
      </c>
      <c r="J18" s="778">
        <f>$AE12</f>
        <v>13500</v>
      </c>
      <c r="K18" s="778">
        <f>$AE13</f>
        <v>296789</v>
      </c>
      <c r="L18" s="778">
        <f>$AE14</f>
        <v>132900</v>
      </c>
      <c r="M18" s="778">
        <f>$AE18</f>
        <v>120</v>
      </c>
      <c r="N18" s="775"/>
      <c r="O18" s="778">
        <f>$AE15</f>
        <v>4556</v>
      </c>
      <c r="P18" s="778">
        <f>$AE16</f>
        <v>5245</v>
      </c>
      <c r="Q18" s="775">
        <f t="shared" si="5"/>
        <v>8000</v>
      </c>
      <c r="R18" s="778">
        <f>$AE17</f>
        <v>8000</v>
      </c>
      <c r="S18" s="775"/>
      <c r="T18" s="775"/>
      <c r="U18" s="772"/>
      <c r="V18" s="609" t="s">
        <v>764</v>
      </c>
      <c r="W18" s="740">
        <f t="shared" si="1"/>
        <v>2550</v>
      </c>
      <c r="X18" s="609">
        <f>'[1]DT 2018'!E77</f>
        <v>170</v>
      </c>
      <c r="Y18" s="609">
        <f>'[1]DT 2018'!F77</f>
        <v>170</v>
      </c>
      <c r="Z18" s="609">
        <f>'[1]DT 2018'!G77</f>
        <v>150</v>
      </c>
      <c r="AA18" s="609">
        <f>'[1]DT 2018'!H77</f>
        <v>130</v>
      </c>
      <c r="AB18" s="609">
        <f>'[1]DT 2018'!I77</f>
        <v>150</v>
      </c>
      <c r="AC18" s="609">
        <f>'[1]DT 2018'!J77</f>
        <v>170</v>
      </c>
      <c r="AD18" s="609">
        <f>'[1]DT 2018'!K77</f>
        <v>120</v>
      </c>
      <c r="AE18" s="609">
        <f>'[1]DT 2018'!L77</f>
        <v>120</v>
      </c>
      <c r="AF18" s="609">
        <f>'[1]DT 2018'!M77</f>
        <v>140</v>
      </c>
      <c r="AG18" s="609">
        <f>'[1]DT 2018'!N77</f>
        <v>170</v>
      </c>
      <c r="AH18" s="609">
        <f>'[1]DT 2018'!O77</f>
        <v>140</v>
      </c>
      <c r="AI18" s="609">
        <f>'[1]DT 2018'!P77</f>
        <v>150</v>
      </c>
      <c r="AJ18" s="609">
        <f>'[1]DT 2018'!Q77</f>
        <v>120</v>
      </c>
      <c r="AK18" s="609">
        <f>'[1]DT 2018'!R77</f>
        <v>100</v>
      </c>
      <c r="AL18" s="609">
        <f>'[1]DT 2018'!S77</f>
        <v>150</v>
      </c>
      <c r="AM18" s="609">
        <f>'[1]DT 2018'!T77</f>
        <v>150</v>
      </c>
      <c r="AN18" s="609">
        <f>'[1]DT 2018'!U77</f>
        <v>130</v>
      </c>
      <c r="AO18" s="609">
        <f>'[1]DT 2018'!V77</f>
        <v>120</v>
      </c>
    </row>
    <row r="19" spans="1:41" ht="15.75">
      <c r="A19" s="774">
        <v>9</v>
      </c>
      <c r="B19" s="777" t="s">
        <v>681</v>
      </c>
      <c r="C19" s="775">
        <f t="shared" si="2"/>
        <v>485960</v>
      </c>
      <c r="D19" s="775">
        <f t="shared" si="3"/>
        <v>465960</v>
      </c>
      <c r="E19" s="775">
        <f t="shared" si="4"/>
        <v>44258</v>
      </c>
      <c r="F19" s="775"/>
      <c r="G19" s="775"/>
      <c r="H19" s="778">
        <f>$AF10</f>
        <v>38758</v>
      </c>
      <c r="I19" s="778">
        <f>$AF11</f>
        <v>0</v>
      </c>
      <c r="J19" s="778">
        <f>$AF12</f>
        <v>5500</v>
      </c>
      <c r="K19" s="778">
        <f>$AF13</f>
        <v>410552</v>
      </c>
      <c r="L19" s="778">
        <f>$AF14</f>
        <v>185897</v>
      </c>
      <c r="M19" s="778">
        <f>$AF18</f>
        <v>140</v>
      </c>
      <c r="N19" s="775"/>
      <c r="O19" s="778">
        <f>$AF15</f>
        <v>6048</v>
      </c>
      <c r="P19" s="778">
        <f>$AF16</f>
        <v>5102</v>
      </c>
      <c r="Q19" s="775">
        <f t="shared" si="5"/>
        <v>20000</v>
      </c>
      <c r="R19" s="778">
        <f>$AF17</f>
        <v>20000</v>
      </c>
      <c r="S19" s="775"/>
      <c r="T19" s="775"/>
      <c r="U19" s="772"/>
      <c r="W19" s="745">
        <f>W10+W11+W12+W13+W15+W16+W17</f>
        <v>8570953</v>
      </c>
      <c r="X19" s="745">
        <f t="shared" ref="X19:AO19" si="6">X10+X11+X12+X13+X15+X16+X17</f>
        <v>671982</v>
      </c>
      <c r="Y19" s="745">
        <f t="shared" si="6"/>
        <v>680414</v>
      </c>
      <c r="Z19" s="745">
        <f t="shared" si="6"/>
        <v>903569</v>
      </c>
      <c r="AA19" s="745">
        <f t="shared" si="6"/>
        <v>574881</v>
      </c>
      <c r="AB19" s="745">
        <f t="shared" si="6"/>
        <v>704473</v>
      </c>
      <c r="AC19" s="745">
        <f t="shared" si="6"/>
        <v>640375</v>
      </c>
      <c r="AD19" s="745">
        <f t="shared" si="6"/>
        <v>725190</v>
      </c>
      <c r="AE19" s="745">
        <f t="shared" si="6"/>
        <v>356189</v>
      </c>
      <c r="AF19" s="745">
        <f t="shared" si="6"/>
        <v>485960</v>
      </c>
      <c r="AG19" s="745">
        <f t="shared" si="6"/>
        <v>233859</v>
      </c>
      <c r="AH19" s="745">
        <f t="shared" si="6"/>
        <v>423279</v>
      </c>
      <c r="AI19" s="745">
        <f t="shared" si="6"/>
        <v>314073</v>
      </c>
      <c r="AJ19" s="745">
        <f t="shared" si="6"/>
        <v>338873</v>
      </c>
      <c r="AK19" s="745">
        <f t="shared" si="6"/>
        <v>272482</v>
      </c>
      <c r="AL19" s="745">
        <f t="shared" si="6"/>
        <v>252443</v>
      </c>
      <c r="AM19" s="745">
        <f t="shared" si="6"/>
        <v>306642</v>
      </c>
      <c r="AN19" s="745">
        <f t="shared" si="6"/>
        <v>366873</v>
      </c>
      <c r="AO19" s="745">
        <f t="shared" si="6"/>
        <v>319396</v>
      </c>
    </row>
    <row r="20" spans="1:41" ht="15.75">
      <c r="A20" s="774">
        <v>10</v>
      </c>
      <c r="B20" s="777" t="s">
        <v>682</v>
      </c>
      <c r="C20" s="775">
        <f t="shared" si="2"/>
        <v>233859</v>
      </c>
      <c r="D20" s="775">
        <f t="shared" si="3"/>
        <v>229859</v>
      </c>
      <c r="E20" s="775">
        <f t="shared" si="4"/>
        <v>31487</v>
      </c>
      <c r="F20" s="775"/>
      <c r="G20" s="775"/>
      <c r="H20" s="778">
        <f>$AG10</f>
        <v>28287</v>
      </c>
      <c r="I20" s="778">
        <f>$AG11</f>
        <v>0</v>
      </c>
      <c r="J20" s="778">
        <f>$AG12</f>
        <v>3200</v>
      </c>
      <c r="K20" s="778">
        <f>$AG13</f>
        <v>191419</v>
      </c>
      <c r="L20" s="778">
        <f>$AG14</f>
        <v>72076</v>
      </c>
      <c r="M20" s="778">
        <f>$AG18</f>
        <v>170</v>
      </c>
      <c r="N20" s="775"/>
      <c r="O20" s="778">
        <f>$AG15</f>
        <v>2850</v>
      </c>
      <c r="P20" s="778">
        <f>$AG16</f>
        <v>4103</v>
      </c>
      <c r="Q20" s="775">
        <f t="shared" si="5"/>
        <v>4000</v>
      </c>
      <c r="R20" s="778">
        <f>$AG17</f>
        <v>4000</v>
      </c>
      <c r="S20" s="775"/>
      <c r="T20" s="775"/>
      <c r="U20" s="772"/>
      <c r="W20" s="740">
        <f t="shared" ref="W20:W21" si="7">SUM(X20:AO20)</f>
        <v>8570953</v>
      </c>
      <c r="X20" s="609">
        <f>'[1]DT 2018'!E3</f>
        <v>671982</v>
      </c>
      <c r="Y20" s="609">
        <f>'[1]DT 2018'!F3</f>
        <v>680414</v>
      </c>
      <c r="Z20" s="609">
        <f>'[1]DT 2018'!G3</f>
        <v>903569</v>
      </c>
      <c r="AA20" s="609">
        <f>'[1]DT 2018'!H3</f>
        <v>574881</v>
      </c>
      <c r="AB20" s="609">
        <f>'[1]DT 2018'!I3</f>
        <v>704473</v>
      </c>
      <c r="AC20" s="609">
        <f>'[1]DT 2018'!J3</f>
        <v>640375</v>
      </c>
      <c r="AD20" s="609">
        <f>'[1]DT 2018'!K3</f>
        <v>725190</v>
      </c>
      <c r="AE20" s="609">
        <f>'[1]DT 2018'!L3</f>
        <v>356189</v>
      </c>
      <c r="AF20" s="609">
        <f>'[1]DT 2018'!M3</f>
        <v>485960</v>
      </c>
      <c r="AG20" s="609">
        <f>'[1]DT 2018'!N3</f>
        <v>233859</v>
      </c>
      <c r="AH20" s="609">
        <f>'[1]DT 2018'!O3</f>
        <v>423279</v>
      </c>
      <c r="AI20" s="609">
        <f>'[1]DT 2018'!P3</f>
        <v>314073</v>
      </c>
      <c r="AJ20" s="609">
        <f>'[1]DT 2018'!Q3</f>
        <v>338873</v>
      </c>
      <c r="AK20" s="609">
        <f>'[1]DT 2018'!R3</f>
        <v>272482</v>
      </c>
      <c r="AL20" s="609">
        <f>'[1]DT 2018'!S3</f>
        <v>252443</v>
      </c>
      <c r="AM20" s="609">
        <f>'[1]DT 2018'!T3</f>
        <v>306642</v>
      </c>
      <c r="AN20" s="609">
        <f>'[1]DT 2018'!U3</f>
        <v>366873</v>
      </c>
      <c r="AO20" s="609">
        <f>'[1]DT 2018'!V3</f>
        <v>319396</v>
      </c>
    </row>
    <row r="21" spans="1:41" ht="15.75">
      <c r="A21" s="774">
        <v>11</v>
      </c>
      <c r="B21" s="777" t="s">
        <v>683</v>
      </c>
      <c r="C21" s="775">
        <f t="shared" si="2"/>
        <v>423279</v>
      </c>
      <c r="D21" s="775">
        <f t="shared" si="3"/>
        <v>423279</v>
      </c>
      <c r="E21" s="775">
        <f t="shared" si="4"/>
        <v>46784</v>
      </c>
      <c r="F21" s="775"/>
      <c r="G21" s="775"/>
      <c r="H21" s="778">
        <f>$AH10</f>
        <v>37284</v>
      </c>
      <c r="I21" s="778">
        <f>$AH11</f>
        <v>4500</v>
      </c>
      <c r="J21" s="778">
        <f>$AH12</f>
        <v>5000</v>
      </c>
      <c r="K21" s="778">
        <f>$AH13</f>
        <v>367133</v>
      </c>
      <c r="L21" s="778">
        <f>$AH14</f>
        <v>173120</v>
      </c>
      <c r="M21" s="778">
        <f>$AH18</f>
        <v>140</v>
      </c>
      <c r="N21" s="775"/>
      <c r="O21" s="778">
        <f>$AH15</f>
        <v>5651</v>
      </c>
      <c r="P21" s="778">
        <f>$AH16</f>
        <v>3711</v>
      </c>
      <c r="Q21" s="775">
        <f t="shared" si="5"/>
        <v>0</v>
      </c>
      <c r="R21" s="778">
        <f>$AH17</f>
        <v>0</v>
      </c>
      <c r="S21" s="775"/>
      <c r="T21" s="775"/>
      <c r="U21" s="772"/>
      <c r="W21" s="740">
        <f t="shared" si="7"/>
        <v>0</v>
      </c>
      <c r="X21" s="745">
        <f>X19-X20</f>
        <v>0</v>
      </c>
      <c r="Y21" s="745">
        <f t="shared" ref="Y21:AO21" si="8">Y19-Y20</f>
        <v>0</v>
      </c>
      <c r="Z21" s="745">
        <f t="shared" si="8"/>
        <v>0</v>
      </c>
      <c r="AA21" s="745">
        <f t="shared" si="8"/>
        <v>0</v>
      </c>
      <c r="AB21" s="745">
        <f t="shared" si="8"/>
        <v>0</v>
      </c>
      <c r="AC21" s="745">
        <f t="shared" si="8"/>
        <v>0</v>
      </c>
      <c r="AD21" s="745">
        <f t="shared" si="8"/>
        <v>0</v>
      </c>
      <c r="AE21" s="745">
        <f t="shared" si="8"/>
        <v>0</v>
      </c>
      <c r="AF21" s="745">
        <f t="shared" si="8"/>
        <v>0</v>
      </c>
      <c r="AG21" s="745">
        <f t="shared" si="8"/>
        <v>0</v>
      </c>
      <c r="AH21" s="745">
        <f t="shared" si="8"/>
        <v>0</v>
      </c>
      <c r="AI21" s="745">
        <f t="shared" si="8"/>
        <v>0</v>
      </c>
      <c r="AJ21" s="745">
        <f t="shared" si="8"/>
        <v>0</v>
      </c>
      <c r="AK21" s="745">
        <f t="shared" si="8"/>
        <v>0</v>
      </c>
      <c r="AL21" s="745">
        <f t="shared" si="8"/>
        <v>0</v>
      </c>
      <c r="AM21" s="745">
        <f t="shared" si="8"/>
        <v>0</v>
      </c>
      <c r="AN21" s="745">
        <f t="shared" si="8"/>
        <v>0</v>
      </c>
      <c r="AO21" s="745">
        <f t="shared" si="8"/>
        <v>0</v>
      </c>
    </row>
    <row r="22" spans="1:41" ht="15.75">
      <c r="A22" s="774">
        <v>12</v>
      </c>
      <c r="B22" s="777" t="s">
        <v>684</v>
      </c>
      <c r="C22" s="775">
        <f t="shared" si="2"/>
        <v>314073</v>
      </c>
      <c r="D22" s="775">
        <f t="shared" si="3"/>
        <v>314073</v>
      </c>
      <c r="E22" s="775">
        <f t="shared" si="4"/>
        <v>38315</v>
      </c>
      <c r="F22" s="775"/>
      <c r="G22" s="775"/>
      <c r="H22" s="778">
        <f>$AI10</f>
        <v>36315</v>
      </c>
      <c r="I22" s="778">
        <f>$AI11</f>
        <v>500</v>
      </c>
      <c r="J22" s="778">
        <f>$AI12</f>
        <v>1500</v>
      </c>
      <c r="K22" s="778">
        <f>$AI13</f>
        <v>269038</v>
      </c>
      <c r="L22" s="778">
        <f>$AI14</f>
        <v>117601</v>
      </c>
      <c r="M22" s="778">
        <f>$AI18</f>
        <v>150</v>
      </c>
      <c r="N22" s="775"/>
      <c r="O22" s="778">
        <f>$AI15</f>
        <v>4193</v>
      </c>
      <c r="P22" s="778">
        <f>$AI16</f>
        <v>2527</v>
      </c>
      <c r="Q22" s="775">
        <f t="shared" si="5"/>
        <v>0</v>
      </c>
      <c r="R22" s="778">
        <f>$AI17</f>
        <v>0</v>
      </c>
      <c r="S22" s="775"/>
      <c r="T22" s="775"/>
      <c r="U22" s="772"/>
    </row>
    <row r="23" spans="1:41" ht="15.75">
      <c r="A23" s="774">
        <v>13</v>
      </c>
      <c r="B23" s="777" t="s">
        <v>685</v>
      </c>
      <c r="C23" s="775">
        <f t="shared" si="2"/>
        <v>338873</v>
      </c>
      <c r="D23" s="775">
        <f t="shared" si="3"/>
        <v>321363</v>
      </c>
      <c r="E23" s="775">
        <f t="shared" si="4"/>
        <v>56829</v>
      </c>
      <c r="F23" s="775"/>
      <c r="G23" s="775"/>
      <c r="H23" s="778">
        <f>$AJ10</f>
        <v>53829</v>
      </c>
      <c r="I23" s="778">
        <f>$AJ11</f>
        <v>1500</v>
      </c>
      <c r="J23" s="778">
        <f>$AJ12</f>
        <v>1500</v>
      </c>
      <c r="K23" s="778">
        <f>$AJ13</f>
        <v>249931</v>
      </c>
      <c r="L23" s="778">
        <f>$AJ14</f>
        <v>104432</v>
      </c>
      <c r="M23" s="778">
        <f>$AJ18</f>
        <v>120</v>
      </c>
      <c r="N23" s="775"/>
      <c r="O23" s="778">
        <f>$AJ15</f>
        <v>4357</v>
      </c>
      <c r="P23" s="778">
        <f>$AJ16</f>
        <v>10246</v>
      </c>
      <c r="Q23" s="775">
        <f t="shared" si="5"/>
        <v>17510</v>
      </c>
      <c r="R23" s="778">
        <f>$AJ17</f>
        <v>17510</v>
      </c>
      <c r="S23" s="775"/>
      <c r="T23" s="775"/>
      <c r="U23" s="772"/>
    </row>
    <row r="24" spans="1:41" ht="15.75">
      <c r="A24" s="774">
        <v>14</v>
      </c>
      <c r="B24" s="777" t="s">
        <v>686</v>
      </c>
      <c r="C24" s="775">
        <f t="shared" si="2"/>
        <v>272482</v>
      </c>
      <c r="D24" s="775">
        <f t="shared" si="3"/>
        <v>272482</v>
      </c>
      <c r="E24" s="775">
        <f t="shared" si="4"/>
        <v>32860</v>
      </c>
      <c r="F24" s="775"/>
      <c r="G24" s="775"/>
      <c r="H24" s="778">
        <f>$AK10</f>
        <v>31860</v>
      </c>
      <c r="I24" s="778">
        <f>$AK11</f>
        <v>0</v>
      </c>
      <c r="J24" s="778">
        <f>$AK12</f>
        <v>1000</v>
      </c>
      <c r="K24" s="778">
        <f>$AK13</f>
        <v>233028</v>
      </c>
      <c r="L24" s="778">
        <f>$AK14</f>
        <v>95977</v>
      </c>
      <c r="M24" s="778">
        <f>$AK18</f>
        <v>100</v>
      </c>
      <c r="N24" s="775"/>
      <c r="O24" s="778">
        <f>$AK15</f>
        <v>3879</v>
      </c>
      <c r="P24" s="778">
        <f>$AK16</f>
        <v>2715</v>
      </c>
      <c r="Q24" s="775">
        <f t="shared" si="5"/>
        <v>0</v>
      </c>
      <c r="R24" s="778">
        <f>$AK17</f>
        <v>0</v>
      </c>
      <c r="S24" s="775"/>
      <c r="T24" s="775"/>
      <c r="U24" s="772"/>
    </row>
    <row r="25" spans="1:41" ht="15.75">
      <c r="A25" s="774">
        <v>15</v>
      </c>
      <c r="B25" s="777" t="s">
        <v>687</v>
      </c>
      <c r="C25" s="775">
        <f t="shared" si="2"/>
        <v>252443</v>
      </c>
      <c r="D25" s="775">
        <f t="shared" si="3"/>
        <v>252443</v>
      </c>
      <c r="E25" s="775">
        <f t="shared" si="4"/>
        <v>29884</v>
      </c>
      <c r="F25" s="775"/>
      <c r="G25" s="775"/>
      <c r="H25" s="778">
        <f>$AL10</f>
        <v>26884</v>
      </c>
      <c r="I25" s="778">
        <f>$AL11</f>
        <v>0</v>
      </c>
      <c r="J25" s="778">
        <f>$AL12</f>
        <v>3000</v>
      </c>
      <c r="K25" s="778">
        <f>$AL13</f>
        <v>213845</v>
      </c>
      <c r="L25" s="778">
        <f>$AL14</f>
        <v>86204</v>
      </c>
      <c r="M25" s="778">
        <f>$AL18</f>
        <v>150</v>
      </c>
      <c r="N25" s="775"/>
      <c r="O25" s="778">
        <f>$AL15</f>
        <v>3335</v>
      </c>
      <c r="P25" s="778">
        <f>$AL16</f>
        <v>5379</v>
      </c>
      <c r="Q25" s="775">
        <f t="shared" si="5"/>
        <v>0</v>
      </c>
      <c r="R25" s="778">
        <f>$AL17</f>
        <v>0</v>
      </c>
      <c r="S25" s="775"/>
      <c r="T25" s="775"/>
      <c r="U25" s="772"/>
    </row>
    <row r="26" spans="1:41" ht="15.75">
      <c r="A26" s="774">
        <v>16</v>
      </c>
      <c r="B26" s="777" t="s">
        <v>688</v>
      </c>
      <c r="C26" s="775">
        <f t="shared" si="2"/>
        <v>306642</v>
      </c>
      <c r="D26" s="775">
        <f t="shared" si="3"/>
        <v>306642</v>
      </c>
      <c r="E26" s="775">
        <f t="shared" si="4"/>
        <v>37167</v>
      </c>
      <c r="F26" s="775"/>
      <c r="G26" s="775"/>
      <c r="H26" s="778">
        <f>$AM10</f>
        <v>36067</v>
      </c>
      <c r="I26" s="778">
        <f>$AM11</f>
        <v>800</v>
      </c>
      <c r="J26" s="778">
        <f>$AM12</f>
        <v>300</v>
      </c>
      <c r="K26" s="778">
        <f>$AM13</f>
        <v>262645</v>
      </c>
      <c r="L26" s="778">
        <f>$AM14</f>
        <v>109213</v>
      </c>
      <c r="M26" s="778">
        <f>$AM18</f>
        <v>150</v>
      </c>
      <c r="N26" s="775"/>
      <c r="O26" s="778">
        <f>$AM15</f>
        <v>4122</v>
      </c>
      <c r="P26" s="778">
        <f>$AM16</f>
        <v>2708</v>
      </c>
      <c r="Q26" s="775">
        <f t="shared" si="5"/>
        <v>0</v>
      </c>
      <c r="R26" s="778">
        <f>$AM17</f>
        <v>0</v>
      </c>
      <c r="S26" s="775"/>
      <c r="T26" s="775"/>
      <c r="U26" s="772"/>
    </row>
    <row r="27" spans="1:41" ht="15.75">
      <c r="A27" s="774">
        <v>17</v>
      </c>
      <c r="B27" s="777" t="s">
        <v>689</v>
      </c>
      <c r="C27" s="775">
        <f t="shared" si="2"/>
        <v>366873</v>
      </c>
      <c r="D27" s="775">
        <f t="shared" si="3"/>
        <v>366873</v>
      </c>
      <c r="E27" s="775">
        <f t="shared" si="4"/>
        <v>40328</v>
      </c>
      <c r="F27" s="775"/>
      <c r="G27" s="775"/>
      <c r="H27" s="778">
        <f>$AN10</f>
        <v>34828</v>
      </c>
      <c r="I27" s="778">
        <f>$AN11</f>
        <v>500</v>
      </c>
      <c r="J27" s="778">
        <f>$AN12</f>
        <v>5000</v>
      </c>
      <c r="K27" s="778">
        <f>$AN13</f>
        <v>316099</v>
      </c>
      <c r="L27" s="778">
        <f>$AN14</f>
        <v>168006</v>
      </c>
      <c r="M27" s="778">
        <f>$AN18</f>
        <v>130</v>
      </c>
      <c r="N27" s="775"/>
      <c r="O27" s="778">
        <f>$AN15</f>
        <v>5210</v>
      </c>
      <c r="P27" s="778">
        <f>$AN16</f>
        <v>5236</v>
      </c>
      <c r="Q27" s="775">
        <f t="shared" si="5"/>
        <v>0</v>
      </c>
      <c r="R27" s="778">
        <f>$AN17</f>
        <v>0</v>
      </c>
      <c r="S27" s="775"/>
      <c r="T27" s="775"/>
      <c r="U27" s="772"/>
    </row>
    <row r="28" spans="1:41" ht="15.75">
      <c r="A28" s="774">
        <v>18</v>
      </c>
      <c r="B28" s="777" t="s">
        <v>690</v>
      </c>
      <c r="C28" s="775">
        <f t="shared" si="2"/>
        <v>319396</v>
      </c>
      <c r="D28" s="775">
        <f t="shared" si="3"/>
        <v>294396</v>
      </c>
      <c r="E28" s="775">
        <f t="shared" si="4"/>
        <v>46939</v>
      </c>
      <c r="F28" s="775"/>
      <c r="G28" s="775"/>
      <c r="H28" s="778">
        <f>$AO10</f>
        <v>39939</v>
      </c>
      <c r="I28" s="778">
        <f>$AO11</f>
        <v>0</v>
      </c>
      <c r="J28" s="778">
        <f>$AO12</f>
        <v>7000</v>
      </c>
      <c r="K28" s="778">
        <f>$AO13</f>
        <v>239299</v>
      </c>
      <c r="L28" s="778">
        <f>$AO14</f>
        <v>120527</v>
      </c>
      <c r="M28" s="778">
        <f>$AO18</f>
        <v>120</v>
      </c>
      <c r="N28" s="775"/>
      <c r="O28" s="778">
        <f>$AO15</f>
        <v>3667</v>
      </c>
      <c r="P28" s="778">
        <f>$AO16</f>
        <v>4491</v>
      </c>
      <c r="Q28" s="775">
        <f t="shared" si="5"/>
        <v>25000</v>
      </c>
      <c r="R28" s="778">
        <f>$AO17</f>
        <v>25000</v>
      </c>
      <c r="S28" s="775"/>
      <c r="T28" s="775"/>
      <c r="U28" s="772"/>
    </row>
    <row r="29" spans="1:41" ht="15" thickBot="1">
      <c r="A29" s="779"/>
      <c r="B29" s="780"/>
      <c r="C29" s="781"/>
      <c r="D29" s="781"/>
      <c r="E29" s="781"/>
      <c r="F29" s="781"/>
      <c r="G29" s="781"/>
      <c r="H29" s="781"/>
      <c r="I29" s="781"/>
      <c r="J29" s="781"/>
      <c r="K29" s="781"/>
      <c r="L29" s="781"/>
      <c r="M29" s="781"/>
      <c r="N29" s="781"/>
      <c r="O29" s="781"/>
      <c r="P29" s="781"/>
      <c r="Q29" s="781"/>
      <c r="R29" s="781"/>
      <c r="S29" s="781"/>
      <c r="T29" s="781"/>
      <c r="U29" s="773"/>
    </row>
    <row r="30" spans="1:41" ht="13.5">
      <c r="A30" s="1075"/>
      <c r="B30" s="1075"/>
      <c r="C30" s="1075"/>
      <c r="D30" s="1075"/>
      <c r="E30" s="1075"/>
      <c r="F30" s="1075"/>
      <c r="G30" s="1075"/>
      <c r="H30" s="1075"/>
      <c r="I30" s="1075"/>
      <c r="J30" s="1075"/>
      <c r="K30" s="1075"/>
      <c r="L30" s="1075"/>
      <c r="M30" s="1075"/>
      <c r="N30" s="1075"/>
      <c r="O30" s="1075"/>
      <c r="P30" s="1075"/>
      <c r="Q30" s="1075"/>
      <c r="R30" s="1075"/>
      <c r="S30" s="1075"/>
      <c r="T30" s="1075"/>
      <c r="U30" s="1076"/>
    </row>
    <row r="31" spans="1:41">
      <c r="A31" s="1077"/>
      <c r="B31" s="1077"/>
      <c r="C31" s="1077"/>
      <c r="D31" s="1077"/>
      <c r="E31" s="1077"/>
      <c r="F31" s="1077"/>
      <c r="G31" s="1077"/>
      <c r="H31" s="1077"/>
      <c r="I31" s="1077"/>
      <c r="J31" s="1077"/>
      <c r="K31" s="1077"/>
      <c r="L31" s="1077"/>
      <c r="M31" s="1077"/>
      <c r="N31" s="1077"/>
      <c r="O31" s="1077"/>
      <c r="P31" s="1077"/>
      <c r="Q31" s="1077"/>
      <c r="R31" s="1077"/>
      <c r="S31" s="1077"/>
      <c r="T31" s="1077"/>
      <c r="U31" s="1077"/>
    </row>
    <row r="34" ht="20.25" customHeight="1"/>
    <row r="36" ht="29.25" customHeight="1"/>
    <row r="37" ht="31.5" hidden="1" customHeight="1"/>
    <row r="38" ht="23.25" customHeight="1"/>
    <row r="39" ht="21" customHeight="1"/>
    <row r="48" ht="18" customHeight="1"/>
    <row r="50" ht="19.5" customHeight="1"/>
    <row r="51" ht="19.5" customHeight="1"/>
    <row r="52" ht="24.75" customHeight="1"/>
  </sheetData>
  <mergeCells count="29">
    <mergeCell ref="A30:U30"/>
    <mergeCell ref="A31:U31"/>
    <mergeCell ref="A1:U1"/>
    <mergeCell ref="A2:U2"/>
    <mergeCell ref="A3:U3"/>
    <mergeCell ref="A4:U4"/>
    <mergeCell ref="A5:A8"/>
    <mergeCell ref="B5:B8"/>
    <mergeCell ref="C5:C8"/>
    <mergeCell ref="D5:P5"/>
    <mergeCell ref="J7:J8"/>
    <mergeCell ref="K7:K8"/>
    <mergeCell ref="L7:M7"/>
    <mergeCell ref="Q5:T5"/>
    <mergeCell ref="U5:U8"/>
    <mergeCell ref="D6:D8"/>
    <mergeCell ref="Q6:Q8"/>
    <mergeCell ref="R6:R8"/>
    <mergeCell ref="S6:S8"/>
    <mergeCell ref="T6:T8"/>
    <mergeCell ref="E7:E8"/>
    <mergeCell ref="F7:G7"/>
    <mergeCell ref="H7:H8"/>
    <mergeCell ref="I7:I8"/>
    <mergeCell ref="E6:J6"/>
    <mergeCell ref="K6:M6"/>
    <mergeCell ref="N6:N8"/>
    <mergeCell ref="O6:O8"/>
    <mergeCell ref="P6:P8"/>
  </mergeCells>
  <pageMargins left="0.11811023622047245" right="0" top="0.74803149606299213" bottom="0.55118110236220474" header="0.31496062992125984" footer="0.31496062992125984"/>
  <pageSetup paperSize="9" scale="8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87"/>
  <sheetViews>
    <sheetView showZeros="0" workbookViewId="0">
      <selection activeCell="D49" sqref="D49"/>
    </sheetView>
  </sheetViews>
  <sheetFormatPr defaultColWidth="9.140625" defaultRowHeight="15"/>
  <cols>
    <col min="1" max="1" width="5.7109375" style="71" customWidth="1"/>
    <col min="2" max="2" width="48.140625" style="71" customWidth="1"/>
    <col min="3" max="3" width="8" style="71" customWidth="1"/>
    <col min="4" max="4" width="13.140625" style="71" customWidth="1"/>
    <col min="5" max="7" width="11.5703125" style="7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6.5" thickBot="1">
      <c r="A5" s="72"/>
      <c r="B5" s="72"/>
      <c r="C5" s="72"/>
      <c r="D5" s="72"/>
      <c r="E5" s="72"/>
      <c r="F5" s="72"/>
      <c r="G5" s="72"/>
      <c r="J5" s="74" t="s">
        <v>0</v>
      </c>
      <c r="K5" s="74"/>
      <c r="L5" s="72"/>
      <c r="M5" s="72"/>
      <c r="N5" s="72"/>
      <c r="O5" s="72"/>
      <c r="P5" s="72"/>
      <c r="Q5" s="72"/>
      <c r="R5" s="72"/>
      <c r="S5" s="72"/>
      <c r="T5" s="72"/>
      <c r="U5" s="72"/>
      <c r="V5" s="72"/>
      <c r="W5" s="72"/>
      <c r="X5" s="72"/>
      <c r="Y5" s="72"/>
      <c r="Z5" s="72"/>
      <c r="AA5" s="72"/>
      <c r="AB5" s="72"/>
      <c r="AC5" s="72"/>
      <c r="AD5" s="72"/>
    </row>
    <row r="6" spans="1:256" s="77" customFormat="1" ht="35.25" customHeight="1">
      <c r="A6" s="975" t="s">
        <v>11</v>
      </c>
      <c r="B6" s="977" t="s">
        <v>34</v>
      </c>
      <c r="C6" s="979" t="s">
        <v>35</v>
      </c>
      <c r="D6" s="979" t="s">
        <v>158</v>
      </c>
      <c r="E6" s="75" t="s">
        <v>164</v>
      </c>
      <c r="F6" s="75"/>
      <c r="G6" s="76"/>
      <c r="H6" s="76"/>
      <c r="I6" s="76"/>
      <c r="J6" s="981" t="s">
        <v>178</v>
      </c>
      <c r="K6" s="982"/>
    </row>
    <row r="7" spans="1:256" s="77" customFormat="1" ht="21" customHeight="1">
      <c r="A7" s="976"/>
      <c r="B7" s="978"/>
      <c r="C7" s="980"/>
      <c r="D7" s="980"/>
      <c r="E7" s="980" t="s">
        <v>36</v>
      </c>
      <c r="F7" s="980"/>
      <c r="G7" s="978" t="s">
        <v>37</v>
      </c>
      <c r="H7" s="978" t="s">
        <v>38</v>
      </c>
      <c r="I7" s="978"/>
      <c r="J7" s="971" t="s">
        <v>39</v>
      </c>
      <c r="K7" s="972" t="s">
        <v>40</v>
      </c>
    </row>
    <row r="8" spans="1:256" s="77" customFormat="1" ht="24.75" customHeight="1">
      <c r="A8" s="976"/>
      <c r="B8" s="978"/>
      <c r="C8" s="980"/>
      <c r="D8" s="980"/>
      <c r="E8" s="182" t="s">
        <v>41</v>
      </c>
      <c r="F8" s="183" t="s">
        <v>42</v>
      </c>
      <c r="G8" s="978"/>
      <c r="H8" s="184" t="s">
        <v>41</v>
      </c>
      <c r="I8" s="185" t="s">
        <v>42</v>
      </c>
      <c r="J8" s="971"/>
      <c r="K8" s="972"/>
    </row>
    <row r="9" spans="1:256" s="82" customFormat="1" ht="15" customHeight="1">
      <c r="A9" s="78">
        <v>1</v>
      </c>
      <c r="B9" s="79">
        <f>A9+1</f>
        <v>2</v>
      </c>
      <c r="C9" s="79">
        <f>B9+1</f>
        <v>3</v>
      </c>
      <c r="D9" s="79">
        <f>C9+1</f>
        <v>4</v>
      </c>
      <c r="E9" s="79">
        <f>D9+1</f>
        <v>5</v>
      </c>
      <c r="F9" s="79">
        <v>6</v>
      </c>
      <c r="G9" s="79">
        <v>7</v>
      </c>
      <c r="H9" s="79">
        <v>8</v>
      </c>
      <c r="I9" s="79">
        <v>9</v>
      </c>
      <c r="J9" s="79">
        <v>10</v>
      </c>
      <c r="K9" s="80">
        <v>11</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v>10117459.698943229</v>
      </c>
      <c r="I10" s="91">
        <v>10117459.698943229</v>
      </c>
      <c r="J10" s="86">
        <f>+H10-D10</f>
        <v>0</v>
      </c>
      <c r="K10" s="87">
        <f>+H10/D10*100</f>
        <v>100</v>
      </c>
      <c r="L10" s="69"/>
      <c r="M10" s="69">
        <f>I10-I172</f>
        <v>8673740.4185707141</v>
      </c>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v>3939757.8465529997</v>
      </c>
      <c r="I11" s="91">
        <v>3939757.8465529997</v>
      </c>
      <c r="J11" s="92">
        <f>+H11-D11</f>
        <v>0</v>
      </c>
      <c r="K11" s="93">
        <f>+H11/D11*100</f>
        <v>100</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v>3457427.2123067314</v>
      </c>
      <c r="I12" s="91">
        <v>3457427.2123067314</v>
      </c>
      <c r="J12" s="97"/>
      <c r="K12" s="98"/>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v>1628040.6290249999</v>
      </c>
      <c r="I13" s="103">
        <v>1628040.6290249999</v>
      </c>
      <c r="J13" s="103"/>
      <c r="K13" s="104"/>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v>155500.31456999999</v>
      </c>
      <c r="I14" s="109">
        <v>155500.31456999999</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v>814831.32276000001</v>
      </c>
      <c r="I15" s="109">
        <v>814831.32276000001</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v>422184.31321499997</v>
      </c>
      <c r="I16" s="109">
        <v>422184.31321499997</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v>235524.67848000003</v>
      </c>
      <c r="I17" s="109">
        <v>235524.67848000003</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v>1754634.3512817316</v>
      </c>
      <c r="I18" s="103">
        <v>1754634.3512817316</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103">
        <v>2662559.0438515199</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109"/>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109"/>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109"/>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109"/>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109"/>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103">
        <v>51865.440000000002</v>
      </c>
      <c r="J25" s="103"/>
      <c r="K25" s="104"/>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134">
        <v>59369</v>
      </c>
      <c r="J26" s="134"/>
      <c r="K26" s="192"/>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134"/>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103">
        <v>1.703761831492306</v>
      </c>
      <c r="I28" s="103">
        <v>1.703761831492306</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109">
        <v>30696.839999999997</v>
      </c>
      <c r="J29" s="103"/>
      <c r="K29" s="104"/>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191">
        <v>9867.3919999999998</v>
      </c>
      <c r="J30" s="134"/>
      <c r="K30" s="192"/>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191">
        <v>34188</v>
      </c>
      <c r="J31" s="134"/>
      <c r="K31" s="192"/>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v>0</v>
      </c>
      <c r="I32" s="109">
        <v>0</v>
      </c>
      <c r="J32" s="103"/>
      <c r="K32" s="104"/>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v>172984.42147500001</v>
      </c>
      <c r="I33" s="91">
        <v>172984.42147500001</v>
      </c>
      <c r="J33" s="97"/>
      <c r="K33" s="93"/>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v>172984.42147500001</v>
      </c>
      <c r="I34" s="103">
        <v>172984.42147500001</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v>17388.458999999999</v>
      </c>
      <c r="I35" s="109">
        <v>17388.458999999999</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v>86099.277375000005</v>
      </c>
      <c r="I36" s="109">
        <v>86099.277375000005</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v>44610.218099999998</v>
      </c>
      <c r="I37" s="109">
        <v>44610.218099999998</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v>24886.467000000001</v>
      </c>
      <c r="I38" s="109">
        <v>24886.467000000001</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v>309346.21277126833</v>
      </c>
      <c r="I39" s="103">
        <v>309346.21277126833</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v>957979.84716</v>
      </c>
      <c r="I40" s="91">
        <v>957979.84716</v>
      </c>
      <c r="J40" s="92">
        <f>+H40-D40</f>
        <v>957979.84716</v>
      </c>
      <c r="K40" s="93"/>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v>556874.31420000002</v>
      </c>
      <c r="I41" s="103">
        <v>556874.31420000002</v>
      </c>
      <c r="J41" s="97"/>
      <c r="K41" s="98"/>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v>47681.904690000003</v>
      </c>
      <c r="I42" s="109">
        <v>47681.904690000003</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v>287000.88075000001</v>
      </c>
      <c r="I43" s="109">
        <v>287000.88075000001</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v>143384.91007499999</v>
      </c>
      <c r="I44" s="109">
        <v>143384.91007499999</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v>78806.618684999994</v>
      </c>
      <c r="I45" s="109">
        <v>78806.618684999994</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109">
        <v>110014.9182</v>
      </c>
      <c r="J46" s="109"/>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109">
        <v>40585.287600000003</v>
      </c>
      <c r="J47" s="109"/>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109">
        <v>212258.29680000001</v>
      </c>
      <c r="J48" s="97"/>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109">
        <v>3.9203999999999999</v>
      </c>
      <c r="J49" s="97"/>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7">
        <v>31370.648759999996</v>
      </c>
      <c r="J50" s="97"/>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7">
        <v>6872.4611999999997</v>
      </c>
      <c r="J51" s="97"/>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v>1661628.4379198402</v>
      </c>
      <c r="I52" s="91">
        <v>1661628.4379198402</v>
      </c>
      <c r="J52" s="92">
        <f>+H52-D52</f>
        <v>1661628.4379198402</v>
      </c>
      <c r="K52" s="93"/>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v>327749.45457499998</v>
      </c>
      <c r="I53" s="91">
        <v>327749.45457499998</v>
      </c>
      <c r="J53" s="91"/>
      <c r="K53" s="93"/>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v>115449.454575</v>
      </c>
      <c r="I54" s="103">
        <v>115449.454575</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v>13753.893690000001</v>
      </c>
      <c r="I55" s="109">
        <v>13753.893690000001</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v>56261.006999999998</v>
      </c>
      <c r="I56" s="109">
        <v>56261.006999999998</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v>30802.158900000002</v>
      </c>
      <c r="I57" s="109">
        <v>30802.158900000002</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v>14632.394985000003</v>
      </c>
      <c r="I58" s="109">
        <v>14632.394985000003</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v>34260</v>
      </c>
      <c r="I59" s="103">
        <v>34260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109">
        <v>12960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109">
        <v>5730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109">
        <v>15570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v>173960</v>
      </c>
      <c r="I63" s="103">
        <v>173960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v>87420</v>
      </c>
      <c r="I64" s="109">
        <v>87420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v>22940</v>
      </c>
      <c r="I65" s="109">
        <v>22940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v>63600</v>
      </c>
      <c r="I66" s="109">
        <v>63600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v>4080</v>
      </c>
      <c r="I67" s="103">
        <v>4080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v>4080</v>
      </c>
      <c r="I68" s="109">
        <v>4080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v>1246221.3284398802</v>
      </c>
      <c r="I69" s="91">
        <v>1246221.3284398802</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103">
        <v>550841.118135</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103"/>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103"/>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103"/>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103"/>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103"/>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134">
        <v>397219.78630487993</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134"/>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134"/>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134"/>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134"/>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134"/>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134">
        <v>243786</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134">
        <v>30502</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134">
        <v>22766</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134">
        <v>1106.424</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v>1573970.78301488</v>
      </c>
      <c r="I86" s="138">
        <v>1573970.78301488</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138">
        <v>87657.654904960189</v>
      </c>
      <c r="J87" s="109"/>
      <c r="K87" s="110"/>
      <c r="L87" s="69"/>
      <c r="M87" s="69"/>
      <c r="N87" s="69"/>
      <c r="O87" s="69"/>
      <c r="P87" s="69"/>
      <c r="Q87" s="69"/>
      <c r="R87" s="69"/>
      <c r="S87" s="69"/>
      <c r="T87" s="69"/>
      <c r="U87" s="69"/>
      <c r="V87" s="69"/>
      <c r="W87" s="69"/>
      <c r="X87" s="69"/>
      <c r="Y87" s="69"/>
      <c r="Z87" s="69"/>
      <c r="AA87" s="69"/>
      <c r="AB87" s="69"/>
      <c r="AC87" s="69"/>
      <c r="AD87" s="69"/>
    </row>
    <row r="88" spans="1:30" s="96" customFormat="1" ht="18" customHeight="1">
      <c r="A88" s="88">
        <v>4</v>
      </c>
      <c r="B88" s="89" t="s">
        <v>85</v>
      </c>
      <c r="C88" s="90"/>
      <c r="D88" s="91"/>
      <c r="E88" s="91">
        <v>1497493</v>
      </c>
      <c r="F88" s="91">
        <v>1497493</v>
      </c>
      <c r="G88" s="90"/>
      <c r="H88" s="91">
        <v>78048.807409999994</v>
      </c>
      <c r="I88" s="91">
        <v>78048.807409999994</v>
      </c>
      <c r="J88" s="92">
        <f>+H88-D88</f>
        <v>78048.807409999994</v>
      </c>
      <c r="K88" s="93"/>
      <c r="L88" s="95"/>
      <c r="M88" s="95"/>
      <c r="N88" s="95"/>
      <c r="O88" s="95"/>
      <c r="P88" s="95"/>
      <c r="Q88" s="95"/>
      <c r="R88" s="95"/>
      <c r="S88" s="95"/>
      <c r="T88" s="95"/>
      <c r="U88" s="95"/>
      <c r="V88" s="95"/>
      <c r="W88" s="95"/>
      <c r="X88" s="95"/>
      <c r="Y88" s="95"/>
      <c r="Z88" s="95"/>
      <c r="AA88" s="95"/>
      <c r="AB88" s="95"/>
      <c r="AC88" s="95"/>
      <c r="AD88" s="95"/>
    </row>
    <row r="89" spans="1:30" s="96" customFormat="1" ht="18" customHeight="1">
      <c r="A89" s="101" t="s">
        <v>86</v>
      </c>
      <c r="B89" s="102" t="s">
        <v>87</v>
      </c>
      <c r="C89" s="90"/>
      <c r="D89" s="91"/>
      <c r="E89" s="103">
        <v>1497478</v>
      </c>
      <c r="F89" s="103">
        <v>1497478</v>
      </c>
      <c r="G89" s="90"/>
      <c r="H89" s="103">
        <v>68038.807409999994</v>
      </c>
      <c r="I89" s="103">
        <v>68038.807409999994</v>
      </c>
      <c r="J89" s="91"/>
      <c r="K89" s="93"/>
      <c r="L89" s="95"/>
      <c r="M89" s="95"/>
      <c r="N89" s="95"/>
      <c r="O89" s="95"/>
      <c r="P89" s="95"/>
      <c r="Q89" s="95"/>
      <c r="R89" s="95"/>
      <c r="S89" s="95"/>
      <c r="T89" s="95"/>
      <c r="U89" s="95"/>
      <c r="V89" s="95"/>
      <c r="W89" s="95"/>
      <c r="X89" s="95"/>
      <c r="Y89" s="95"/>
      <c r="Z89" s="95"/>
      <c r="AA89" s="95"/>
      <c r="AB89" s="95"/>
      <c r="AC89" s="95"/>
      <c r="AD89" s="95"/>
    </row>
    <row r="90" spans="1:30" ht="18" customHeight="1">
      <c r="A90" s="107"/>
      <c r="B90" s="108" t="s">
        <v>48</v>
      </c>
      <c r="C90" s="90" t="s">
        <v>49</v>
      </c>
      <c r="D90" s="109"/>
      <c r="E90" s="109">
        <v>193322</v>
      </c>
      <c r="F90" s="109">
        <v>193322</v>
      </c>
      <c r="G90" s="122">
        <v>26600</v>
      </c>
      <c r="H90" s="109">
        <v>6942.1930199999997</v>
      </c>
      <c r="I90" s="109">
        <v>6942.1930199999997</v>
      </c>
      <c r="J90" s="109"/>
      <c r="K90" s="110"/>
      <c r="L90" s="69"/>
      <c r="M90" s="69"/>
      <c r="N90" s="69"/>
      <c r="O90" s="69"/>
      <c r="P90" s="69"/>
      <c r="Q90" s="69"/>
      <c r="R90" s="69"/>
      <c r="S90" s="69"/>
      <c r="T90" s="69"/>
      <c r="U90" s="69"/>
      <c r="V90" s="69"/>
      <c r="W90" s="69"/>
      <c r="X90" s="69"/>
      <c r="Y90" s="69"/>
      <c r="Z90" s="69"/>
      <c r="AA90" s="69"/>
      <c r="AB90" s="69"/>
      <c r="AC90" s="69"/>
      <c r="AD90" s="69"/>
    </row>
    <row r="91" spans="1:30" ht="18" customHeight="1">
      <c r="A91" s="107"/>
      <c r="B91" s="108" t="s">
        <v>50</v>
      </c>
      <c r="C91" s="90" t="s">
        <v>49</v>
      </c>
      <c r="D91" s="109"/>
      <c r="E91" s="109">
        <v>861050</v>
      </c>
      <c r="F91" s="109">
        <v>861050</v>
      </c>
      <c r="G91" s="122">
        <v>29200</v>
      </c>
      <c r="H91" s="109">
        <v>33942.591</v>
      </c>
      <c r="I91" s="109">
        <v>33942.591</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51</v>
      </c>
      <c r="C92" s="90" t="s">
        <v>49</v>
      </c>
      <c r="D92" s="109"/>
      <c r="E92" s="109">
        <v>318665</v>
      </c>
      <c r="F92" s="109">
        <v>318665</v>
      </c>
      <c r="G92" s="122">
        <v>40900</v>
      </c>
      <c r="H92" s="109">
        <v>17595.087974999999</v>
      </c>
      <c r="I92" s="109">
        <v>17595.087974999999</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52</v>
      </c>
      <c r="C93" s="90" t="s">
        <v>49</v>
      </c>
      <c r="D93" s="109"/>
      <c r="E93" s="109">
        <v>124441</v>
      </c>
      <c r="F93" s="109">
        <v>124441</v>
      </c>
      <c r="G93" s="122">
        <v>56900</v>
      </c>
      <c r="H93" s="109">
        <v>9558.9354149999999</v>
      </c>
      <c r="I93" s="109">
        <v>9558.9354149999999</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1" t="s">
        <v>88</v>
      </c>
      <c r="B94" s="102" t="s">
        <v>89</v>
      </c>
      <c r="C94" s="90"/>
      <c r="D94" s="109"/>
      <c r="E94" s="103">
        <v>15</v>
      </c>
      <c r="F94" s="103">
        <v>15</v>
      </c>
      <c r="G94" s="139"/>
      <c r="H94" s="103">
        <v>4010</v>
      </c>
      <c r="I94" s="103">
        <v>4010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7"/>
      <c r="B95" s="128" t="s">
        <v>90</v>
      </c>
      <c r="C95" s="90" t="s">
        <v>71</v>
      </c>
      <c r="D95" s="109"/>
      <c r="E95" s="109">
        <v>1</v>
      </c>
      <c r="F95" s="109">
        <v>1</v>
      </c>
      <c r="G95" s="122">
        <v>510</v>
      </c>
      <c r="H95" s="109">
        <v>510</v>
      </c>
      <c r="I95" s="109">
        <v>510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91</v>
      </c>
      <c r="C96" s="90" t="s">
        <v>71</v>
      </c>
      <c r="D96" s="109"/>
      <c r="E96" s="109">
        <v>14</v>
      </c>
      <c r="F96" s="109">
        <v>14</v>
      </c>
      <c r="G96" s="122">
        <v>250</v>
      </c>
      <c r="H96" s="109">
        <v>3500</v>
      </c>
      <c r="I96" s="109">
        <v>3500</v>
      </c>
      <c r="J96" s="109"/>
      <c r="K96" s="110"/>
      <c r="L96" s="69"/>
      <c r="M96" s="69"/>
      <c r="N96" s="69"/>
      <c r="O96" s="69"/>
      <c r="P96" s="69"/>
      <c r="Q96" s="69"/>
      <c r="R96" s="69"/>
      <c r="S96" s="69"/>
      <c r="T96" s="69"/>
      <c r="U96" s="69"/>
      <c r="V96" s="69"/>
      <c r="W96" s="69"/>
      <c r="X96" s="69"/>
      <c r="Y96" s="69"/>
      <c r="Z96" s="69"/>
      <c r="AA96" s="69"/>
      <c r="AB96" s="69"/>
      <c r="AC96" s="69"/>
      <c r="AD96" s="69"/>
    </row>
    <row r="97" spans="1:256" s="106" customFormat="1" ht="18" customHeight="1">
      <c r="A97" s="101" t="s">
        <v>179</v>
      </c>
      <c r="B97" s="102" t="s">
        <v>180</v>
      </c>
      <c r="C97" s="124"/>
      <c r="D97" s="103"/>
      <c r="E97" s="103">
        <v>2</v>
      </c>
      <c r="F97" s="103">
        <v>2</v>
      </c>
      <c r="G97" s="119">
        <v>3000</v>
      </c>
      <c r="H97" s="103">
        <v>6000</v>
      </c>
      <c r="I97" s="103">
        <v>6000</v>
      </c>
      <c r="J97" s="103"/>
      <c r="K97" s="104"/>
      <c r="L97" s="105"/>
      <c r="M97" s="105"/>
      <c r="N97" s="105"/>
      <c r="O97" s="105"/>
      <c r="P97" s="105"/>
      <c r="Q97" s="105"/>
      <c r="R97" s="105"/>
      <c r="S97" s="105"/>
      <c r="T97" s="105"/>
      <c r="U97" s="105"/>
      <c r="V97" s="105"/>
      <c r="W97" s="105"/>
      <c r="X97" s="105"/>
      <c r="Y97" s="105"/>
      <c r="Z97" s="105"/>
      <c r="AA97" s="105"/>
      <c r="AB97" s="105"/>
      <c r="AC97" s="105"/>
      <c r="AD97" s="105"/>
    </row>
    <row r="98" spans="1:256" s="96" customFormat="1" ht="18" customHeight="1">
      <c r="A98" s="88">
        <v>5</v>
      </c>
      <c r="B98" s="89" t="s">
        <v>92</v>
      </c>
      <c r="C98" s="140"/>
      <c r="D98" s="91"/>
      <c r="E98" s="91"/>
      <c r="F98" s="91"/>
      <c r="G98" s="90"/>
      <c r="H98" s="91">
        <v>41570.41188</v>
      </c>
      <c r="I98" s="91">
        <v>41570.41188</v>
      </c>
      <c r="J98" s="92">
        <f>+H98-D98</f>
        <v>41570.41188</v>
      </c>
      <c r="K98" s="93"/>
      <c r="L98" s="95"/>
      <c r="M98" s="95"/>
      <c r="N98" s="95"/>
      <c r="O98" s="95"/>
      <c r="P98" s="95"/>
      <c r="Q98" s="95"/>
      <c r="R98" s="95"/>
      <c r="S98" s="95"/>
      <c r="T98" s="95"/>
      <c r="U98" s="95"/>
      <c r="V98" s="95"/>
      <c r="W98" s="95"/>
      <c r="X98" s="95"/>
      <c r="Y98" s="95"/>
      <c r="Z98" s="95"/>
      <c r="AA98" s="95"/>
      <c r="AB98" s="95"/>
      <c r="AC98" s="95"/>
      <c r="AD98" s="95"/>
      <c r="IV98" s="91">
        <f>+IV99+IV104</f>
        <v>0</v>
      </c>
    </row>
    <row r="99" spans="1:256" s="96" customFormat="1" ht="18" customHeight="1">
      <c r="A99" s="101" t="s">
        <v>93</v>
      </c>
      <c r="B99" s="102" t="s">
        <v>87</v>
      </c>
      <c r="C99" s="90"/>
      <c r="D99" s="91"/>
      <c r="E99" s="103">
        <v>1497478</v>
      </c>
      <c r="F99" s="103">
        <v>1497478</v>
      </c>
      <c r="G99" s="90"/>
      <c r="H99" s="103">
        <v>40910.41188</v>
      </c>
      <c r="I99" s="103">
        <v>40910.41188</v>
      </c>
      <c r="J99" s="91"/>
      <c r="K99" s="93"/>
      <c r="L99" s="95"/>
      <c r="M99" s="95"/>
      <c r="N99" s="95"/>
      <c r="O99" s="95"/>
      <c r="P99" s="95"/>
      <c r="Q99" s="95"/>
      <c r="R99" s="95"/>
      <c r="S99" s="95"/>
      <c r="T99" s="95"/>
      <c r="U99" s="95"/>
      <c r="V99" s="95"/>
      <c r="W99" s="95"/>
      <c r="X99" s="95"/>
      <c r="Y99" s="95"/>
      <c r="Z99" s="95"/>
      <c r="AA99" s="95"/>
      <c r="AB99" s="95"/>
      <c r="AC99" s="95"/>
      <c r="AD99" s="95"/>
    </row>
    <row r="100" spans="1:256" ht="18" customHeight="1">
      <c r="A100" s="107"/>
      <c r="B100" s="108" t="s">
        <v>48</v>
      </c>
      <c r="C100" s="90" t="s">
        <v>49</v>
      </c>
      <c r="D100" s="109"/>
      <c r="E100" s="109">
        <v>193322</v>
      </c>
      <c r="F100" s="109">
        <v>193322</v>
      </c>
      <c r="G100" s="122">
        <v>15800</v>
      </c>
      <c r="H100" s="109">
        <v>4123.5582600000007</v>
      </c>
      <c r="I100" s="109">
        <v>4123.5582600000007</v>
      </c>
      <c r="J100" s="109"/>
      <c r="K100" s="110"/>
      <c r="L100" s="69"/>
      <c r="M100" s="69"/>
      <c r="N100" s="69"/>
      <c r="O100" s="69"/>
      <c r="P100" s="69"/>
      <c r="Q100" s="69"/>
      <c r="R100" s="69"/>
      <c r="S100" s="69"/>
      <c r="T100" s="69"/>
      <c r="U100" s="69"/>
      <c r="V100" s="69"/>
      <c r="W100" s="69"/>
      <c r="X100" s="69"/>
      <c r="Y100" s="69"/>
      <c r="Z100" s="69"/>
      <c r="AA100" s="69"/>
      <c r="AB100" s="69"/>
      <c r="AC100" s="69"/>
      <c r="AD100" s="69"/>
    </row>
    <row r="101" spans="1:256" ht="18" customHeight="1">
      <c r="A101" s="107"/>
      <c r="B101" s="108" t="s">
        <v>50</v>
      </c>
      <c r="C101" s="90" t="s">
        <v>49</v>
      </c>
      <c r="D101" s="109"/>
      <c r="E101" s="109">
        <v>861050</v>
      </c>
      <c r="F101" s="109">
        <v>861050</v>
      </c>
      <c r="G101" s="122">
        <v>17600</v>
      </c>
      <c r="H101" s="109">
        <v>20458.547999999999</v>
      </c>
      <c r="I101" s="109">
        <v>20458.547999999999</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51</v>
      </c>
      <c r="C102" s="90" t="s">
        <v>49</v>
      </c>
      <c r="D102" s="109"/>
      <c r="E102" s="109">
        <v>318665</v>
      </c>
      <c r="F102" s="109">
        <v>318665</v>
      </c>
      <c r="G102" s="122">
        <v>24600</v>
      </c>
      <c r="H102" s="109">
        <v>10582.86465</v>
      </c>
      <c r="I102" s="109">
        <v>10582.86465</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52</v>
      </c>
      <c r="C103" s="90" t="s">
        <v>49</v>
      </c>
      <c r="D103" s="109"/>
      <c r="E103" s="109">
        <v>124441</v>
      </c>
      <c r="F103" s="109">
        <v>124441</v>
      </c>
      <c r="G103" s="122">
        <v>34200</v>
      </c>
      <c r="H103" s="109">
        <v>5745.4409699999997</v>
      </c>
      <c r="I103" s="109">
        <v>5745.4409699999997</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51" customHeight="1">
      <c r="A104" s="101" t="s">
        <v>94</v>
      </c>
      <c r="B104" s="102" t="s">
        <v>167</v>
      </c>
      <c r="C104" s="90" t="s">
        <v>71</v>
      </c>
      <c r="D104" s="109"/>
      <c r="E104" s="103">
        <v>2</v>
      </c>
      <c r="F104" s="103">
        <v>2</v>
      </c>
      <c r="G104" s="122">
        <v>330</v>
      </c>
      <c r="H104" s="109">
        <v>660</v>
      </c>
      <c r="I104" s="109">
        <v>660</v>
      </c>
      <c r="J104" s="109"/>
      <c r="K104" s="110"/>
      <c r="L104" s="94"/>
      <c r="M104" s="69"/>
      <c r="N104" s="69"/>
      <c r="O104" s="69"/>
      <c r="P104" s="69"/>
      <c r="Q104" s="69"/>
      <c r="R104" s="69"/>
      <c r="S104" s="69"/>
      <c r="T104" s="69"/>
      <c r="U104" s="69"/>
      <c r="V104" s="69"/>
      <c r="W104" s="69"/>
      <c r="X104" s="69"/>
      <c r="Y104" s="69"/>
      <c r="Z104" s="69"/>
      <c r="AA104" s="69"/>
      <c r="AB104" s="69"/>
      <c r="AC104" s="69"/>
      <c r="AD104" s="69"/>
    </row>
    <row r="105" spans="1:256" s="96" customFormat="1" ht="18" customHeight="1">
      <c r="A105" s="88">
        <v>6</v>
      </c>
      <c r="B105" s="89" t="s">
        <v>95</v>
      </c>
      <c r="C105" s="90"/>
      <c r="D105" s="91"/>
      <c r="E105" s="91"/>
      <c r="F105" s="91"/>
      <c r="G105" s="139"/>
      <c r="H105" s="91">
        <v>34186.852035000004</v>
      </c>
      <c r="I105" s="91">
        <v>34186.852035000004</v>
      </c>
      <c r="J105" s="92">
        <f>+H105-D105</f>
        <v>34186.852035000004</v>
      </c>
      <c r="K105" s="93"/>
      <c r="L105" s="95"/>
      <c r="M105" s="95"/>
      <c r="N105" s="95"/>
      <c r="O105" s="95"/>
      <c r="P105" s="95"/>
      <c r="Q105" s="95"/>
      <c r="R105" s="95"/>
      <c r="S105" s="95"/>
      <c r="T105" s="95"/>
      <c r="U105" s="95"/>
      <c r="V105" s="95"/>
      <c r="W105" s="95"/>
      <c r="X105" s="95"/>
      <c r="Y105" s="95"/>
      <c r="Z105" s="95"/>
      <c r="AA105" s="95"/>
      <c r="AB105" s="95"/>
      <c r="AC105" s="95"/>
      <c r="AD105" s="95"/>
    </row>
    <row r="106" spans="1:256" s="96" customFormat="1" ht="18" customHeight="1">
      <c r="A106" s="101" t="s">
        <v>96</v>
      </c>
      <c r="B106" s="102" t="s">
        <v>87</v>
      </c>
      <c r="C106" s="90"/>
      <c r="D106" s="91"/>
      <c r="E106" s="103">
        <v>1497478</v>
      </c>
      <c r="F106" s="103">
        <v>1497478</v>
      </c>
      <c r="G106" s="139"/>
      <c r="H106" s="103">
        <v>33835.852035000004</v>
      </c>
      <c r="I106" s="103">
        <v>33835.852035000004</v>
      </c>
      <c r="J106" s="91"/>
      <c r="K106" s="93"/>
      <c r="L106" s="95"/>
      <c r="M106" s="95"/>
      <c r="N106" s="95"/>
      <c r="O106" s="95"/>
      <c r="P106" s="95"/>
      <c r="Q106" s="95"/>
      <c r="R106" s="95"/>
      <c r="S106" s="95"/>
      <c r="T106" s="95"/>
      <c r="U106" s="95"/>
      <c r="V106" s="95"/>
      <c r="W106" s="95"/>
      <c r="X106" s="95"/>
      <c r="Y106" s="95"/>
      <c r="Z106" s="95"/>
      <c r="AA106" s="95"/>
      <c r="AB106" s="95"/>
      <c r="AC106" s="95"/>
      <c r="AD106" s="95"/>
    </row>
    <row r="107" spans="1:256" ht="18" customHeight="1">
      <c r="A107" s="107"/>
      <c r="B107" s="108" t="s">
        <v>48</v>
      </c>
      <c r="C107" s="90" t="s">
        <v>49</v>
      </c>
      <c r="D107" s="109"/>
      <c r="E107" s="109">
        <v>193322</v>
      </c>
      <c r="F107" s="109">
        <v>193322</v>
      </c>
      <c r="G107" s="122">
        <v>18600</v>
      </c>
      <c r="H107" s="109">
        <v>4854.3154199999999</v>
      </c>
      <c r="I107" s="109">
        <v>4854.3154199999999</v>
      </c>
      <c r="J107" s="109"/>
      <c r="K107" s="110"/>
      <c r="L107" s="69"/>
      <c r="M107" s="69"/>
      <c r="N107" s="69"/>
      <c r="O107" s="69"/>
      <c r="P107" s="69"/>
      <c r="Q107" s="69"/>
      <c r="R107" s="69"/>
      <c r="S107" s="69"/>
      <c r="T107" s="69"/>
      <c r="U107" s="69"/>
      <c r="V107" s="69"/>
      <c r="W107" s="69"/>
      <c r="X107" s="69"/>
      <c r="Y107" s="69"/>
      <c r="Z107" s="69"/>
      <c r="AA107" s="69"/>
      <c r="AB107" s="69"/>
      <c r="AC107" s="69"/>
      <c r="AD107" s="69"/>
    </row>
    <row r="108" spans="1:256" ht="18" customHeight="1">
      <c r="A108" s="107"/>
      <c r="B108" s="108" t="s">
        <v>50</v>
      </c>
      <c r="C108" s="90" t="s">
        <v>49</v>
      </c>
      <c r="D108" s="109"/>
      <c r="E108" s="109">
        <v>861050</v>
      </c>
      <c r="F108" s="109">
        <v>861050</v>
      </c>
      <c r="G108" s="122">
        <v>13900</v>
      </c>
      <c r="H108" s="109">
        <v>16157.603250000002</v>
      </c>
      <c r="I108" s="109">
        <v>16157.603250000002</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51</v>
      </c>
      <c r="C109" s="90" t="s">
        <v>49</v>
      </c>
      <c r="D109" s="109"/>
      <c r="E109" s="109">
        <v>318665</v>
      </c>
      <c r="F109" s="109">
        <v>318665</v>
      </c>
      <c r="G109" s="122">
        <v>19500</v>
      </c>
      <c r="H109" s="109">
        <v>8388.8561250000002</v>
      </c>
      <c r="I109" s="109">
        <v>8388.8561250000002</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52</v>
      </c>
      <c r="C110" s="90" t="s">
        <v>49</v>
      </c>
      <c r="D110" s="109"/>
      <c r="E110" s="109">
        <v>124441</v>
      </c>
      <c r="F110" s="109">
        <v>124441</v>
      </c>
      <c r="G110" s="122">
        <v>26400</v>
      </c>
      <c r="H110" s="109">
        <v>4435.0772399999996</v>
      </c>
      <c r="I110" s="109">
        <v>4435.0772399999996</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50.45" customHeight="1">
      <c r="A111" s="101" t="s">
        <v>97</v>
      </c>
      <c r="B111" s="141" t="s">
        <v>295</v>
      </c>
      <c r="C111" s="90" t="s">
        <v>98</v>
      </c>
      <c r="D111" s="109"/>
      <c r="E111" s="109">
        <v>26</v>
      </c>
      <c r="F111" s="109">
        <v>26</v>
      </c>
      <c r="G111" s="142">
        <v>13.5</v>
      </c>
      <c r="H111" s="109">
        <v>351</v>
      </c>
      <c r="I111" s="109">
        <v>351</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s="96" customFormat="1" ht="18" customHeight="1">
      <c r="A112" s="88">
        <v>7</v>
      </c>
      <c r="B112" s="89" t="s">
        <v>99</v>
      </c>
      <c r="C112" s="90"/>
      <c r="D112" s="91"/>
      <c r="E112" s="91"/>
      <c r="F112" s="91"/>
      <c r="G112" s="139"/>
      <c r="H112" s="91">
        <v>666650.44360499992</v>
      </c>
      <c r="I112" s="91">
        <v>666650.44360499992</v>
      </c>
      <c r="J112" s="92">
        <f>+H112-D112</f>
        <v>666650.44360499992</v>
      </c>
      <c r="K112" s="93"/>
      <c r="L112" s="95"/>
      <c r="M112" s="95"/>
      <c r="N112" s="95"/>
      <c r="O112" s="95"/>
      <c r="P112" s="95"/>
      <c r="Q112" s="95"/>
      <c r="R112" s="95"/>
      <c r="S112" s="95"/>
      <c r="T112" s="95"/>
      <c r="U112" s="95"/>
      <c r="V112" s="95"/>
      <c r="W112" s="95"/>
      <c r="X112" s="95"/>
      <c r="Y112" s="95"/>
      <c r="Z112" s="95"/>
      <c r="AA112" s="95"/>
      <c r="AB112" s="95"/>
      <c r="AC112" s="95"/>
      <c r="AD112" s="95"/>
    </row>
    <row r="113" spans="1:30" s="100" customFormat="1" ht="18" customHeight="1">
      <c r="A113" s="101" t="s">
        <v>100</v>
      </c>
      <c r="B113" s="102" t="s">
        <v>62</v>
      </c>
      <c r="C113" s="90"/>
      <c r="D113" s="97"/>
      <c r="E113" s="103">
        <v>1497478</v>
      </c>
      <c r="F113" s="103">
        <v>1497478</v>
      </c>
      <c r="G113" s="143"/>
      <c r="H113" s="103">
        <v>77195.462804999988</v>
      </c>
      <c r="I113" s="103">
        <v>77195.462804999988</v>
      </c>
      <c r="J113" s="97"/>
      <c r="K113" s="98"/>
      <c r="L113" s="99"/>
      <c r="M113" s="99"/>
      <c r="N113" s="99"/>
      <c r="O113" s="99"/>
      <c r="P113" s="99"/>
      <c r="Q113" s="99"/>
      <c r="R113" s="99"/>
      <c r="S113" s="99"/>
      <c r="T113" s="99"/>
      <c r="U113" s="99"/>
      <c r="V113" s="99"/>
      <c r="W113" s="99"/>
      <c r="X113" s="99"/>
      <c r="Y113" s="99"/>
      <c r="Z113" s="99"/>
      <c r="AA113" s="99"/>
      <c r="AB113" s="99"/>
      <c r="AC113" s="99"/>
      <c r="AD113" s="99"/>
    </row>
    <row r="114" spans="1:30" ht="18" customHeight="1">
      <c r="A114" s="107"/>
      <c r="B114" s="108" t="s">
        <v>48</v>
      </c>
      <c r="C114" s="90" t="s">
        <v>49</v>
      </c>
      <c r="D114" s="109"/>
      <c r="E114" s="109">
        <v>193322</v>
      </c>
      <c r="F114" s="109">
        <v>193322</v>
      </c>
      <c r="G114" s="122">
        <v>31000</v>
      </c>
      <c r="H114" s="109">
        <v>8090.5257000000011</v>
      </c>
      <c r="I114" s="109">
        <v>8090.5257000000011</v>
      </c>
      <c r="J114" s="109"/>
      <c r="K114" s="110"/>
      <c r="L114" s="69"/>
      <c r="M114" s="69"/>
      <c r="N114" s="69"/>
      <c r="O114" s="69"/>
      <c r="P114" s="69"/>
      <c r="Q114" s="69"/>
      <c r="R114" s="69"/>
      <c r="S114" s="69"/>
      <c r="T114" s="69"/>
      <c r="U114" s="69"/>
      <c r="V114" s="69"/>
      <c r="W114" s="69"/>
      <c r="X114" s="69"/>
      <c r="Y114" s="69"/>
      <c r="Z114" s="69"/>
      <c r="AA114" s="69"/>
      <c r="AB114" s="69"/>
      <c r="AC114" s="69"/>
      <c r="AD114" s="69"/>
    </row>
    <row r="115" spans="1:30" ht="18" customHeight="1">
      <c r="A115" s="107"/>
      <c r="B115" s="108" t="s">
        <v>50</v>
      </c>
      <c r="C115" s="90" t="s">
        <v>49</v>
      </c>
      <c r="D115" s="109"/>
      <c r="E115" s="109">
        <v>861050</v>
      </c>
      <c r="F115" s="109">
        <v>861050</v>
      </c>
      <c r="G115" s="122">
        <v>33700</v>
      </c>
      <c r="H115" s="109">
        <v>39173.469749999997</v>
      </c>
      <c r="I115" s="109">
        <v>39173.469749999997</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51</v>
      </c>
      <c r="C116" s="90" t="s">
        <v>49</v>
      </c>
      <c r="D116" s="109"/>
      <c r="E116" s="109">
        <v>318665</v>
      </c>
      <c r="F116" s="109">
        <v>318665</v>
      </c>
      <c r="G116" s="122">
        <v>47200</v>
      </c>
      <c r="H116" s="109">
        <v>20305.3338</v>
      </c>
      <c r="I116" s="109">
        <v>20305.3338</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52</v>
      </c>
      <c r="C117" s="90" t="s">
        <v>49</v>
      </c>
      <c r="D117" s="109"/>
      <c r="E117" s="109">
        <v>124441</v>
      </c>
      <c r="F117" s="109">
        <v>124441</v>
      </c>
      <c r="G117" s="122">
        <v>57300</v>
      </c>
      <c r="H117" s="109">
        <v>9626.1335550000003</v>
      </c>
      <c r="I117" s="109">
        <v>9626.1335550000003</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s="100" customFormat="1" ht="20.25" customHeight="1">
      <c r="A118" s="101" t="s">
        <v>101</v>
      </c>
      <c r="B118" s="121" t="s">
        <v>102</v>
      </c>
      <c r="C118" s="90" t="s">
        <v>103</v>
      </c>
      <c r="D118" s="97"/>
      <c r="E118" s="288">
        <v>99762</v>
      </c>
      <c r="F118" s="109">
        <v>99762</v>
      </c>
      <c r="G118" s="122">
        <v>500000</v>
      </c>
      <c r="H118" s="103">
        <v>49881</v>
      </c>
      <c r="I118" s="103">
        <v>49881</v>
      </c>
      <c r="J118" s="97"/>
      <c r="K118" s="98"/>
      <c r="L118" s="99"/>
      <c r="M118" s="99"/>
      <c r="N118" s="99"/>
      <c r="O118" s="99"/>
      <c r="P118" s="99"/>
      <c r="Q118" s="99"/>
      <c r="R118" s="99"/>
      <c r="S118" s="99"/>
      <c r="T118" s="99"/>
      <c r="U118" s="99"/>
      <c r="V118" s="99"/>
      <c r="W118" s="99"/>
      <c r="X118" s="99"/>
      <c r="Y118" s="99"/>
      <c r="Z118" s="99"/>
      <c r="AA118" s="99"/>
      <c r="AB118" s="99"/>
      <c r="AC118" s="99"/>
      <c r="AD118" s="99"/>
    </row>
    <row r="119" spans="1:30" s="100" customFormat="1" ht="33" customHeight="1">
      <c r="A119" s="101" t="s">
        <v>104</v>
      </c>
      <c r="B119" s="111" t="s">
        <v>105</v>
      </c>
      <c r="C119" s="90"/>
      <c r="D119" s="97"/>
      <c r="E119" s="103">
        <v>4632</v>
      </c>
      <c r="F119" s="103">
        <v>4632</v>
      </c>
      <c r="G119" s="109"/>
      <c r="H119" s="292">
        <v>90698.980800000005</v>
      </c>
      <c r="I119" s="103">
        <v>90698.980800000005</v>
      </c>
      <c r="J119" s="97"/>
      <c r="K119" s="98"/>
      <c r="L119" s="99"/>
      <c r="M119" s="99"/>
      <c r="N119" s="99"/>
      <c r="O119" s="99"/>
      <c r="P119" s="99"/>
      <c r="Q119" s="99"/>
      <c r="R119" s="99"/>
      <c r="S119" s="99"/>
      <c r="T119" s="99"/>
      <c r="U119" s="99"/>
      <c r="V119" s="99"/>
      <c r="W119" s="99"/>
      <c r="X119" s="99"/>
      <c r="Y119" s="99"/>
      <c r="Z119" s="99"/>
      <c r="AA119" s="99"/>
      <c r="AB119" s="99"/>
      <c r="AC119" s="99"/>
      <c r="AD119" s="99"/>
    </row>
    <row r="120" spans="1:30" s="100" customFormat="1" ht="17.25" customHeight="1">
      <c r="A120" s="101"/>
      <c r="B120" s="144" t="s">
        <v>106</v>
      </c>
      <c r="C120" s="90"/>
      <c r="D120" s="97"/>
      <c r="E120" s="112">
        <v>498</v>
      </c>
      <c r="F120" s="112">
        <v>498</v>
      </c>
      <c r="G120" s="145"/>
      <c r="H120" s="112"/>
      <c r="I120" s="112"/>
      <c r="J120" s="97"/>
      <c r="K120" s="98"/>
      <c r="L120" s="99"/>
      <c r="M120" s="99"/>
      <c r="N120" s="99"/>
      <c r="O120" s="99"/>
      <c r="P120" s="99"/>
      <c r="Q120" s="99"/>
      <c r="R120" s="99"/>
      <c r="S120" s="99"/>
      <c r="T120" s="99"/>
      <c r="U120" s="99"/>
      <c r="V120" s="99"/>
      <c r="W120" s="99"/>
      <c r="X120" s="99"/>
      <c r="Y120" s="99"/>
      <c r="Z120" s="99"/>
      <c r="AA120" s="99"/>
      <c r="AB120" s="99"/>
      <c r="AC120" s="99"/>
      <c r="AD120" s="99"/>
    </row>
    <row r="121" spans="1:30" s="100" customFormat="1" ht="46.5" customHeight="1">
      <c r="A121" s="101"/>
      <c r="B121" s="146" t="s">
        <v>107</v>
      </c>
      <c r="C121" s="90"/>
      <c r="D121" s="97"/>
      <c r="E121" s="112">
        <v>745</v>
      </c>
      <c r="F121" s="112">
        <v>745</v>
      </c>
      <c r="G121" s="97"/>
      <c r="H121" s="112"/>
      <c r="I121" s="112"/>
      <c r="J121" s="97"/>
      <c r="K121" s="98"/>
      <c r="L121" s="99"/>
      <c r="M121" s="99"/>
      <c r="N121" s="99"/>
      <c r="O121" s="99"/>
      <c r="P121" s="99"/>
      <c r="Q121" s="99"/>
      <c r="R121" s="99"/>
      <c r="S121" s="99"/>
      <c r="T121" s="99"/>
      <c r="U121" s="99"/>
      <c r="V121" s="99"/>
      <c r="W121" s="99"/>
      <c r="X121" s="99"/>
      <c r="Y121" s="99"/>
      <c r="Z121" s="99"/>
      <c r="AA121" s="99"/>
      <c r="AB121" s="99"/>
      <c r="AC121" s="99"/>
      <c r="AD121" s="99"/>
    </row>
    <row r="122" spans="1:30" s="100" customFormat="1" ht="17.25" customHeight="1">
      <c r="A122" s="101"/>
      <c r="B122" s="144" t="s">
        <v>108</v>
      </c>
      <c r="C122" s="90"/>
      <c r="D122" s="97"/>
      <c r="E122" s="112">
        <v>3389</v>
      </c>
      <c r="F122" s="112">
        <v>3389</v>
      </c>
      <c r="G122" s="145"/>
      <c r="H122" s="112"/>
      <c r="I122" s="112"/>
      <c r="J122" s="97"/>
      <c r="K122" s="98"/>
      <c r="L122" s="99"/>
      <c r="M122" s="99"/>
      <c r="N122" s="99"/>
      <c r="O122" s="99"/>
      <c r="P122" s="99"/>
      <c r="Q122" s="99"/>
      <c r="R122" s="99"/>
      <c r="S122" s="99"/>
      <c r="T122" s="99"/>
      <c r="U122" s="99"/>
      <c r="V122" s="99"/>
      <c r="W122" s="99"/>
      <c r="X122" s="99"/>
      <c r="Y122" s="99"/>
      <c r="Z122" s="99"/>
      <c r="AA122" s="99"/>
      <c r="AB122" s="99"/>
      <c r="AC122" s="99"/>
      <c r="AD122" s="99"/>
    </row>
    <row r="123" spans="1:30" s="100" customFormat="1" ht="32.25" customHeight="1">
      <c r="A123" s="101" t="s">
        <v>109</v>
      </c>
      <c r="B123" s="212" t="s">
        <v>222</v>
      </c>
      <c r="C123" s="90"/>
      <c r="D123" s="97"/>
      <c r="E123" s="112">
        <v>94618</v>
      </c>
      <c r="F123" s="112">
        <v>94618</v>
      </c>
      <c r="G123" s="145"/>
      <c r="H123" s="103">
        <v>430988</v>
      </c>
      <c r="I123" s="103">
        <v>430988</v>
      </c>
      <c r="J123" s="97"/>
      <c r="K123" s="98"/>
      <c r="L123" s="99"/>
      <c r="M123" s="99"/>
      <c r="N123" s="99"/>
      <c r="O123" s="99"/>
      <c r="P123" s="99"/>
      <c r="Q123" s="99"/>
      <c r="R123" s="99"/>
      <c r="S123" s="99"/>
      <c r="T123" s="99"/>
      <c r="U123" s="99"/>
      <c r="V123" s="99"/>
      <c r="W123" s="99"/>
      <c r="X123" s="99"/>
      <c r="Y123" s="99"/>
      <c r="Z123" s="99"/>
      <c r="AA123" s="99"/>
      <c r="AB123" s="99"/>
      <c r="AC123" s="99"/>
      <c r="AD123" s="99"/>
    </row>
    <row r="124" spans="1:30" s="100" customFormat="1" ht="17.25" customHeight="1">
      <c r="A124" s="101" t="s">
        <v>181</v>
      </c>
      <c r="B124" s="147" t="s">
        <v>182</v>
      </c>
      <c r="C124" s="90"/>
      <c r="D124" s="97"/>
      <c r="E124" s="112"/>
      <c r="F124" s="112"/>
      <c r="G124" s="145"/>
      <c r="H124" s="103">
        <v>17887</v>
      </c>
      <c r="I124" s="103">
        <v>17887</v>
      </c>
      <c r="J124" s="97"/>
      <c r="K124" s="98"/>
      <c r="L124" s="99"/>
      <c r="M124" s="99"/>
      <c r="N124" s="99"/>
      <c r="O124" s="99"/>
      <c r="P124" s="99"/>
      <c r="Q124" s="99"/>
      <c r="R124" s="99"/>
      <c r="S124" s="99"/>
      <c r="T124" s="99"/>
      <c r="U124" s="99"/>
      <c r="V124" s="99"/>
      <c r="W124" s="99"/>
      <c r="X124" s="99"/>
      <c r="Y124" s="99"/>
      <c r="Z124" s="99"/>
      <c r="AA124" s="99"/>
      <c r="AB124" s="99"/>
      <c r="AC124" s="99"/>
      <c r="AD124" s="99"/>
    </row>
    <row r="125" spans="1:30" s="96" customFormat="1" ht="18" customHeight="1">
      <c r="A125" s="88">
        <v>8</v>
      </c>
      <c r="B125" s="89" t="s">
        <v>110</v>
      </c>
      <c r="C125" s="90"/>
      <c r="D125" s="91"/>
      <c r="E125" s="91"/>
      <c r="F125" s="91"/>
      <c r="G125" s="90"/>
      <c r="H125" s="91">
        <v>87892.494095000002</v>
      </c>
      <c r="I125" s="91">
        <v>87892.494095000002</v>
      </c>
      <c r="J125" s="92">
        <f>+H125-D125</f>
        <v>87892.494095000002</v>
      </c>
      <c r="K125" s="93"/>
      <c r="L125" s="95"/>
      <c r="M125" s="95"/>
      <c r="N125" s="95"/>
      <c r="O125" s="95"/>
      <c r="P125" s="95"/>
      <c r="Q125" s="95"/>
      <c r="R125" s="95"/>
      <c r="S125" s="95"/>
      <c r="T125" s="95"/>
      <c r="U125" s="95"/>
      <c r="V125" s="95"/>
      <c r="W125" s="95"/>
      <c r="X125" s="95"/>
      <c r="Y125" s="95"/>
      <c r="Z125" s="95"/>
      <c r="AA125" s="95"/>
      <c r="AB125" s="95"/>
      <c r="AC125" s="95"/>
      <c r="AD125" s="95"/>
    </row>
    <row r="126" spans="1:30" s="96" customFormat="1" ht="18" customHeight="1">
      <c r="A126" s="101" t="s">
        <v>111</v>
      </c>
      <c r="B126" s="102" t="s">
        <v>87</v>
      </c>
      <c r="C126" s="90"/>
      <c r="D126" s="91"/>
      <c r="E126" s="103">
        <v>1497478</v>
      </c>
      <c r="F126" s="103">
        <v>1497478</v>
      </c>
      <c r="G126" s="90"/>
      <c r="H126" s="103">
        <v>75092.494095000002</v>
      </c>
      <c r="I126" s="103">
        <v>75092.494095000002</v>
      </c>
      <c r="J126" s="91"/>
      <c r="K126" s="93"/>
      <c r="L126" s="95"/>
      <c r="M126" s="95"/>
      <c r="N126" s="95"/>
      <c r="O126" s="95"/>
      <c r="P126" s="95"/>
      <c r="Q126" s="95"/>
      <c r="R126" s="95"/>
      <c r="S126" s="95"/>
      <c r="T126" s="95"/>
      <c r="U126" s="95"/>
      <c r="V126" s="95"/>
      <c r="W126" s="95"/>
      <c r="X126" s="95"/>
      <c r="Y126" s="95"/>
      <c r="Z126" s="95"/>
      <c r="AA126" s="95"/>
      <c r="AB126" s="95"/>
      <c r="AC126" s="95"/>
      <c r="AD126" s="95"/>
    </row>
    <row r="127" spans="1:30" ht="18" customHeight="1">
      <c r="A127" s="107"/>
      <c r="B127" s="108" t="s">
        <v>48</v>
      </c>
      <c r="C127" s="90" t="s">
        <v>49</v>
      </c>
      <c r="D127" s="109"/>
      <c r="E127" s="109">
        <v>193322</v>
      </c>
      <c r="F127" s="109">
        <v>193322</v>
      </c>
      <c r="G127" s="122">
        <v>31800</v>
      </c>
      <c r="H127" s="109">
        <v>8299.3134600000012</v>
      </c>
      <c r="I127" s="109">
        <v>8299.3134600000012</v>
      </c>
      <c r="J127" s="109"/>
      <c r="K127" s="110"/>
      <c r="L127" s="69"/>
      <c r="M127" s="69"/>
      <c r="N127" s="69"/>
      <c r="O127" s="69"/>
      <c r="P127" s="69"/>
      <c r="Q127" s="69"/>
      <c r="R127" s="69"/>
      <c r="S127" s="69"/>
      <c r="T127" s="69"/>
      <c r="U127" s="69"/>
      <c r="V127" s="69"/>
      <c r="W127" s="69"/>
      <c r="X127" s="69"/>
      <c r="Y127" s="69"/>
      <c r="Z127" s="69"/>
      <c r="AA127" s="69"/>
      <c r="AB127" s="69"/>
      <c r="AC127" s="69"/>
      <c r="AD127" s="69"/>
    </row>
    <row r="128" spans="1:30" ht="18" customHeight="1">
      <c r="A128" s="107"/>
      <c r="B128" s="108" t="s">
        <v>50</v>
      </c>
      <c r="C128" s="90" t="s">
        <v>49</v>
      </c>
      <c r="D128" s="109"/>
      <c r="E128" s="109">
        <v>861050</v>
      </c>
      <c r="F128" s="109">
        <v>861050</v>
      </c>
      <c r="G128" s="122">
        <v>31800</v>
      </c>
      <c r="H128" s="109">
        <v>36964.876499999998</v>
      </c>
      <c r="I128" s="109">
        <v>36964.876499999998</v>
      </c>
      <c r="J128" s="109"/>
      <c r="K128" s="110"/>
      <c r="L128" s="69"/>
      <c r="M128" s="69"/>
      <c r="N128" s="69"/>
      <c r="O128" s="69"/>
      <c r="P128" s="69"/>
      <c r="Q128" s="69"/>
      <c r="R128" s="69"/>
      <c r="S128" s="69"/>
      <c r="T128" s="69"/>
      <c r="U128" s="69"/>
      <c r="V128" s="69"/>
      <c r="W128" s="69"/>
      <c r="X128" s="69"/>
      <c r="Y128" s="69"/>
      <c r="Z128" s="69"/>
      <c r="AA128" s="69"/>
      <c r="AB128" s="69"/>
      <c r="AC128" s="69"/>
      <c r="AD128" s="69"/>
    </row>
    <row r="129" spans="1:30" ht="18" customHeight="1">
      <c r="A129" s="107"/>
      <c r="B129" s="108" t="s">
        <v>51</v>
      </c>
      <c r="C129" s="90" t="s">
        <v>49</v>
      </c>
      <c r="D129" s="109"/>
      <c r="E129" s="109">
        <v>318665</v>
      </c>
      <c r="F129" s="109">
        <v>318665</v>
      </c>
      <c r="G129" s="122">
        <v>44500</v>
      </c>
      <c r="H129" s="109">
        <v>19143.799875000001</v>
      </c>
      <c r="I129" s="109">
        <v>19143.799875000001</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52</v>
      </c>
      <c r="C130" s="90" t="s">
        <v>49</v>
      </c>
      <c r="D130" s="109"/>
      <c r="E130" s="109">
        <v>124441</v>
      </c>
      <c r="F130" s="109">
        <v>124441</v>
      </c>
      <c r="G130" s="122">
        <v>63600</v>
      </c>
      <c r="H130" s="109">
        <v>10684.50426</v>
      </c>
      <c r="I130" s="109">
        <v>10684.50426</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75" customHeight="1">
      <c r="A131" s="101" t="s">
        <v>112</v>
      </c>
      <c r="B131" s="102" t="s">
        <v>113</v>
      </c>
      <c r="C131" s="90"/>
      <c r="D131" s="109"/>
      <c r="E131" s="103">
        <v>16</v>
      </c>
      <c r="F131" s="103">
        <v>16</v>
      </c>
      <c r="G131" s="148"/>
      <c r="H131" s="103">
        <v>12800</v>
      </c>
      <c r="I131" s="103">
        <v>12800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1"/>
      <c r="B132" s="128" t="s">
        <v>114</v>
      </c>
      <c r="C132" s="90" t="s">
        <v>71</v>
      </c>
      <c r="D132" s="109"/>
      <c r="E132" s="109"/>
      <c r="F132" s="109"/>
      <c r="G132" s="122">
        <v>4000</v>
      </c>
      <c r="H132" s="109">
        <v>0</v>
      </c>
      <c r="I132" s="109">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31.9" customHeight="1">
      <c r="A133" s="101"/>
      <c r="B133" s="128" t="s">
        <v>340</v>
      </c>
      <c r="C133" s="90" t="s">
        <v>71</v>
      </c>
      <c r="D133" s="109"/>
      <c r="E133" s="109">
        <v>16</v>
      </c>
      <c r="F133" s="109">
        <v>16</v>
      </c>
      <c r="G133" s="122">
        <v>800</v>
      </c>
      <c r="H133" s="109">
        <v>12800</v>
      </c>
      <c r="I133" s="109">
        <v>12800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s="96" customFormat="1" ht="18" customHeight="1">
      <c r="A134" s="88">
        <v>9</v>
      </c>
      <c r="B134" s="89" t="s">
        <v>19</v>
      </c>
      <c r="C134" s="90"/>
      <c r="D134" s="91"/>
      <c r="E134" s="91"/>
      <c r="F134" s="91"/>
      <c r="G134" s="139"/>
      <c r="H134" s="91">
        <v>43330.771275000006</v>
      </c>
      <c r="I134" s="91">
        <v>43330.771275000006</v>
      </c>
      <c r="J134" s="92">
        <f>+H134-D134</f>
        <v>43330.771275000006</v>
      </c>
      <c r="K134" s="93"/>
      <c r="L134" s="95"/>
      <c r="M134" s="95"/>
      <c r="N134" s="95"/>
      <c r="O134" s="95"/>
      <c r="P134" s="95"/>
      <c r="Q134" s="95"/>
      <c r="R134" s="95"/>
      <c r="S134" s="95"/>
      <c r="T134" s="95"/>
      <c r="U134" s="95"/>
      <c r="V134" s="95"/>
      <c r="W134" s="95"/>
      <c r="X134" s="95"/>
      <c r="Y134" s="95"/>
      <c r="Z134" s="95"/>
      <c r="AA134" s="95"/>
      <c r="AB134" s="95"/>
      <c r="AC134" s="95"/>
      <c r="AD134" s="95"/>
    </row>
    <row r="135" spans="1:30" s="96" customFormat="1" ht="18" customHeight="1">
      <c r="A135" s="101" t="s">
        <v>115</v>
      </c>
      <c r="B135" s="102" t="s">
        <v>87</v>
      </c>
      <c r="C135" s="90"/>
      <c r="D135" s="91"/>
      <c r="E135" s="103">
        <v>1497478</v>
      </c>
      <c r="F135" s="103">
        <v>1497478</v>
      </c>
      <c r="G135" s="139"/>
      <c r="H135" s="103">
        <v>33730.771275000006</v>
      </c>
      <c r="I135" s="103">
        <v>33730.771275000006</v>
      </c>
      <c r="J135" s="91"/>
      <c r="K135" s="93"/>
      <c r="L135" s="95"/>
      <c r="M135" s="95"/>
      <c r="N135" s="95"/>
      <c r="O135" s="95"/>
      <c r="P135" s="95"/>
      <c r="Q135" s="95"/>
      <c r="R135" s="95"/>
      <c r="S135" s="95"/>
      <c r="T135" s="95"/>
      <c r="U135" s="95"/>
      <c r="V135" s="95"/>
      <c r="W135" s="95"/>
      <c r="X135" s="95"/>
      <c r="Y135" s="95"/>
      <c r="Z135" s="95"/>
      <c r="AA135" s="95"/>
      <c r="AB135" s="95"/>
      <c r="AC135" s="95"/>
      <c r="AD135" s="95"/>
    </row>
    <row r="136" spans="1:30" ht="18" customHeight="1">
      <c r="A136" s="107"/>
      <c r="B136" s="108" t="s">
        <v>48</v>
      </c>
      <c r="C136" s="90" t="s">
        <v>49</v>
      </c>
      <c r="D136" s="109"/>
      <c r="E136" s="109">
        <v>193322</v>
      </c>
      <c r="F136" s="109">
        <v>193322</v>
      </c>
      <c r="G136" s="122">
        <v>18200</v>
      </c>
      <c r="H136" s="109">
        <v>4749.9215400000003</v>
      </c>
      <c r="I136" s="109">
        <v>4749.9215400000003</v>
      </c>
      <c r="J136" s="109"/>
      <c r="K136" s="110"/>
      <c r="L136" s="69"/>
      <c r="M136" s="69"/>
      <c r="N136" s="69"/>
      <c r="O136" s="69"/>
      <c r="P136" s="69"/>
      <c r="Q136" s="69"/>
      <c r="R136" s="69"/>
      <c r="S136" s="69"/>
      <c r="T136" s="69"/>
      <c r="U136" s="69"/>
      <c r="V136" s="69"/>
      <c r="W136" s="69"/>
      <c r="X136" s="69"/>
      <c r="Y136" s="69"/>
      <c r="Z136" s="69"/>
      <c r="AA136" s="69"/>
      <c r="AB136" s="69"/>
      <c r="AC136" s="69"/>
      <c r="AD136" s="69"/>
    </row>
    <row r="137" spans="1:30" ht="18" customHeight="1">
      <c r="A137" s="107"/>
      <c r="B137" s="108" t="s">
        <v>50</v>
      </c>
      <c r="C137" s="90" t="s">
        <v>49</v>
      </c>
      <c r="D137" s="109"/>
      <c r="E137" s="109">
        <v>861050</v>
      </c>
      <c r="F137" s="109">
        <v>861050</v>
      </c>
      <c r="G137" s="122">
        <v>13800</v>
      </c>
      <c r="H137" s="109">
        <v>16041.361500000003</v>
      </c>
      <c r="I137" s="109">
        <v>16041.361500000003</v>
      </c>
      <c r="J137" s="109"/>
      <c r="K137" s="110"/>
      <c r="L137" s="69"/>
      <c r="M137" s="69"/>
      <c r="N137" s="69"/>
      <c r="O137" s="69"/>
      <c r="P137" s="69"/>
      <c r="Q137" s="69"/>
      <c r="R137" s="69"/>
      <c r="S137" s="69"/>
      <c r="T137" s="69"/>
      <c r="U137" s="69"/>
      <c r="V137" s="69"/>
      <c r="W137" s="69"/>
      <c r="X137" s="69"/>
      <c r="Y137" s="69"/>
      <c r="Z137" s="69"/>
      <c r="AA137" s="69"/>
      <c r="AB137" s="69"/>
      <c r="AC137" s="69"/>
      <c r="AD137" s="69"/>
    </row>
    <row r="138" spans="1:30" ht="18" customHeight="1">
      <c r="A138" s="107"/>
      <c r="B138" s="108" t="s">
        <v>51</v>
      </c>
      <c r="C138" s="90" t="s">
        <v>49</v>
      </c>
      <c r="D138" s="109"/>
      <c r="E138" s="109">
        <v>318665</v>
      </c>
      <c r="F138" s="109">
        <v>318665</v>
      </c>
      <c r="G138" s="122">
        <v>19300</v>
      </c>
      <c r="H138" s="109">
        <v>8302.8165750000007</v>
      </c>
      <c r="I138" s="109">
        <v>8302.8165750000007</v>
      </c>
      <c r="J138" s="109"/>
      <c r="K138" s="110"/>
      <c r="L138" s="69"/>
      <c r="M138" s="69"/>
      <c r="N138" s="69"/>
      <c r="O138" s="69"/>
      <c r="P138" s="69"/>
      <c r="Q138" s="69"/>
      <c r="R138" s="69"/>
      <c r="S138" s="69"/>
      <c r="T138" s="69"/>
      <c r="U138" s="69"/>
      <c r="V138" s="69"/>
      <c r="W138" s="69"/>
      <c r="X138" s="69"/>
      <c r="Y138" s="69"/>
      <c r="Z138" s="69"/>
      <c r="AA138" s="69"/>
      <c r="AB138" s="69"/>
      <c r="AC138" s="69"/>
      <c r="AD138" s="69"/>
    </row>
    <row r="139" spans="1:30" ht="18" customHeight="1">
      <c r="A139" s="107"/>
      <c r="B139" s="108" t="s">
        <v>52</v>
      </c>
      <c r="C139" s="90" t="s">
        <v>49</v>
      </c>
      <c r="D139" s="109"/>
      <c r="E139" s="109">
        <v>124441</v>
      </c>
      <c r="F139" s="109">
        <v>124441</v>
      </c>
      <c r="G139" s="122">
        <v>27600</v>
      </c>
      <c r="H139" s="109">
        <v>4636.67166</v>
      </c>
      <c r="I139" s="109">
        <v>4636.67166</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7.25" customHeight="1">
      <c r="A140" s="101" t="s">
        <v>116</v>
      </c>
      <c r="B140" s="102" t="s">
        <v>113</v>
      </c>
      <c r="C140" s="90"/>
      <c r="D140" s="109"/>
      <c r="E140" s="109"/>
      <c r="F140" s="109"/>
      <c r="G140" s="148"/>
      <c r="H140" s="103">
        <v>9600</v>
      </c>
      <c r="I140" s="103">
        <v>9600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1"/>
      <c r="B141" s="128" t="s">
        <v>114</v>
      </c>
      <c r="C141" s="90" t="s">
        <v>71</v>
      </c>
      <c r="D141" s="109"/>
      <c r="E141" s="109"/>
      <c r="F141" s="109"/>
      <c r="G141" s="122">
        <v>1600</v>
      </c>
      <c r="H141" s="109">
        <v>0</v>
      </c>
      <c r="I141" s="109">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33.6" customHeight="1">
      <c r="A142" s="101"/>
      <c r="B142" s="128" t="s">
        <v>340</v>
      </c>
      <c r="C142" s="90" t="s">
        <v>71</v>
      </c>
      <c r="D142" s="109"/>
      <c r="E142" s="109">
        <v>16</v>
      </c>
      <c r="F142" s="109">
        <v>16</v>
      </c>
      <c r="G142" s="122">
        <v>600</v>
      </c>
      <c r="H142" s="109">
        <v>9600</v>
      </c>
      <c r="I142" s="109">
        <v>9600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s="96" customFormat="1" ht="35.25" customHeight="1">
      <c r="A143" s="88">
        <v>10</v>
      </c>
      <c r="B143" s="89" t="s">
        <v>168</v>
      </c>
      <c r="C143" s="90"/>
      <c r="D143" s="91">
        <v>25743.006637873648</v>
      </c>
      <c r="E143" s="91"/>
      <c r="F143" s="91"/>
      <c r="G143" s="91"/>
      <c r="H143" s="91">
        <v>25743.006637873648</v>
      </c>
      <c r="I143" s="91">
        <v>25743.006637873648</v>
      </c>
      <c r="J143" s="92">
        <f>+H143-D143</f>
        <v>0</v>
      </c>
      <c r="K143" s="93">
        <f>+H143/D143*100</f>
        <v>100</v>
      </c>
      <c r="L143" s="95"/>
      <c r="M143" s="95"/>
      <c r="N143" s="95"/>
      <c r="O143" s="95"/>
      <c r="P143" s="95"/>
      <c r="Q143" s="95"/>
      <c r="R143" s="95"/>
      <c r="S143" s="95"/>
      <c r="T143" s="95"/>
      <c r="U143" s="95"/>
      <c r="V143" s="95"/>
      <c r="W143" s="95"/>
      <c r="X143" s="95"/>
      <c r="Y143" s="95"/>
      <c r="Z143" s="95"/>
      <c r="AA143" s="95"/>
      <c r="AB143" s="95"/>
      <c r="AC143" s="95"/>
      <c r="AD143" s="95"/>
    </row>
    <row r="144" spans="1:30" s="96" customFormat="1" ht="18" customHeight="1">
      <c r="A144" s="88">
        <v>11</v>
      </c>
      <c r="B144" s="89" t="s">
        <v>20</v>
      </c>
      <c r="C144" s="90"/>
      <c r="D144" s="91"/>
      <c r="E144" s="91"/>
      <c r="F144" s="91"/>
      <c r="G144" s="91"/>
      <c r="H144" s="91">
        <v>933641.5</v>
      </c>
      <c r="I144" s="91">
        <v>933641.5</v>
      </c>
      <c r="J144" s="92">
        <f>+H144-D144</f>
        <v>933641.5</v>
      </c>
      <c r="K144" s="93"/>
      <c r="L144" s="95"/>
      <c r="M144" s="95"/>
      <c r="N144" s="95"/>
      <c r="O144" s="95"/>
      <c r="P144" s="95"/>
      <c r="Q144" s="95"/>
      <c r="R144" s="95"/>
      <c r="S144" s="95"/>
      <c r="T144" s="95"/>
      <c r="U144" s="95"/>
      <c r="V144" s="95"/>
      <c r="W144" s="95"/>
      <c r="X144" s="95"/>
      <c r="Y144" s="95"/>
      <c r="Z144" s="95"/>
      <c r="AA144" s="95"/>
      <c r="AB144" s="95"/>
      <c r="AC144" s="95"/>
      <c r="AD144" s="95"/>
    </row>
    <row r="145" spans="1:30" s="100" customFormat="1" ht="35.25" customHeight="1">
      <c r="A145" s="101" t="s">
        <v>117</v>
      </c>
      <c r="B145" s="102" t="s">
        <v>118</v>
      </c>
      <c r="C145" s="90"/>
      <c r="D145" s="97"/>
      <c r="E145" s="97"/>
      <c r="F145" s="97"/>
      <c r="G145" s="149"/>
      <c r="H145" s="103">
        <v>722740</v>
      </c>
      <c r="I145" s="103">
        <v>722740</v>
      </c>
      <c r="J145" s="97"/>
      <c r="K145" s="98"/>
      <c r="L145" s="94"/>
      <c r="M145" s="99"/>
      <c r="N145" s="99"/>
      <c r="O145" s="99"/>
      <c r="P145" s="99"/>
      <c r="Q145" s="99"/>
      <c r="R145" s="99"/>
      <c r="S145" s="99"/>
      <c r="T145" s="99"/>
      <c r="U145" s="99"/>
      <c r="V145" s="99"/>
      <c r="W145" s="99"/>
      <c r="X145" s="99"/>
      <c r="Y145" s="99"/>
      <c r="Z145" s="99"/>
      <c r="AA145" s="99"/>
      <c r="AB145" s="99"/>
      <c r="AC145" s="99"/>
      <c r="AD145" s="99"/>
    </row>
    <row r="146" spans="1:30" s="100" customFormat="1" ht="21" customHeight="1">
      <c r="A146" s="101" t="s">
        <v>119</v>
      </c>
      <c r="B146" s="102" t="s">
        <v>120</v>
      </c>
      <c r="C146" s="90"/>
      <c r="D146" s="97"/>
      <c r="E146" s="103">
        <v>3</v>
      </c>
      <c r="F146" s="103">
        <v>3</v>
      </c>
      <c r="G146" s="90"/>
      <c r="H146" s="103">
        <v>64000</v>
      </c>
      <c r="I146" s="103">
        <v>64000</v>
      </c>
      <c r="J146" s="97"/>
      <c r="K146" s="98"/>
      <c r="L146" s="99"/>
      <c r="M146" s="99"/>
      <c r="N146" s="99"/>
      <c r="O146" s="99"/>
      <c r="P146" s="99"/>
      <c r="Q146" s="99"/>
      <c r="R146" s="99"/>
      <c r="S146" s="99"/>
      <c r="T146" s="99"/>
      <c r="U146" s="99"/>
      <c r="V146" s="99"/>
      <c r="W146" s="99"/>
      <c r="X146" s="99"/>
      <c r="Y146" s="99"/>
      <c r="Z146" s="99"/>
      <c r="AA146" s="99"/>
      <c r="AB146" s="99"/>
      <c r="AC146" s="99"/>
      <c r="AD146" s="99"/>
    </row>
    <row r="147" spans="1:30" s="100" customFormat="1" ht="18" customHeight="1">
      <c r="A147" s="150"/>
      <c r="B147" s="108" t="s">
        <v>170</v>
      </c>
      <c r="C147" s="90" t="s">
        <v>121</v>
      </c>
      <c r="D147" s="97"/>
      <c r="E147" s="109"/>
      <c r="F147" s="109"/>
      <c r="G147" s="122">
        <v>76500</v>
      </c>
      <c r="H147" s="97">
        <v>0</v>
      </c>
      <c r="I147" s="97">
        <v>0</v>
      </c>
      <c r="J147" s="97"/>
      <c r="K147" s="98"/>
      <c r="L147" s="99"/>
      <c r="M147" s="99"/>
      <c r="N147" s="99"/>
      <c r="O147" s="99"/>
      <c r="P147" s="99"/>
      <c r="Q147" s="99"/>
      <c r="R147" s="99"/>
      <c r="S147" s="99"/>
      <c r="T147" s="99"/>
      <c r="U147" s="99"/>
      <c r="V147" s="99"/>
      <c r="W147" s="99"/>
      <c r="X147" s="99"/>
      <c r="Y147" s="99"/>
      <c r="Z147" s="99"/>
      <c r="AA147" s="99"/>
      <c r="AB147" s="99"/>
      <c r="AC147" s="99"/>
      <c r="AD147" s="99"/>
    </row>
    <row r="148" spans="1:30" ht="18" customHeight="1">
      <c r="A148" s="107"/>
      <c r="B148" s="108" t="s">
        <v>122</v>
      </c>
      <c r="C148" s="90" t="s">
        <v>121</v>
      </c>
      <c r="D148" s="109"/>
      <c r="E148" s="109"/>
      <c r="F148" s="109"/>
      <c r="G148" s="122">
        <v>46500</v>
      </c>
      <c r="H148" s="97">
        <v>0</v>
      </c>
      <c r="I148" s="97">
        <v>0</v>
      </c>
      <c r="J148" s="109"/>
      <c r="K148" s="110"/>
      <c r="L148" s="69"/>
      <c r="M148" s="69"/>
      <c r="N148" s="69"/>
      <c r="O148" s="69"/>
      <c r="P148" s="69"/>
      <c r="Q148" s="69"/>
      <c r="R148" s="69"/>
      <c r="S148" s="69"/>
      <c r="T148" s="69"/>
      <c r="U148" s="69"/>
      <c r="V148" s="69"/>
      <c r="W148" s="69"/>
      <c r="X148" s="69"/>
      <c r="Y148" s="69"/>
      <c r="Z148" s="69"/>
      <c r="AA148" s="69"/>
      <c r="AB148" s="69"/>
      <c r="AC148" s="69"/>
      <c r="AD148" s="69"/>
    </row>
    <row r="149" spans="1:30" ht="18" customHeight="1">
      <c r="A149" s="107"/>
      <c r="B149" s="108" t="s">
        <v>123</v>
      </c>
      <c r="C149" s="90" t="s">
        <v>121</v>
      </c>
      <c r="D149" s="109"/>
      <c r="E149" s="109">
        <v>2</v>
      </c>
      <c r="F149" s="109">
        <v>2</v>
      </c>
      <c r="G149" s="122">
        <v>12750</v>
      </c>
      <c r="H149" s="97">
        <v>25500</v>
      </c>
      <c r="I149" s="97">
        <v>25500</v>
      </c>
      <c r="J149" s="109"/>
      <c r="K149" s="110"/>
      <c r="L149" s="69"/>
      <c r="M149" s="69"/>
      <c r="N149" s="69"/>
      <c r="O149" s="69"/>
      <c r="P149" s="69"/>
      <c r="Q149" s="69"/>
      <c r="R149" s="69"/>
      <c r="S149" s="69"/>
      <c r="T149" s="69"/>
      <c r="U149" s="69"/>
      <c r="V149" s="69"/>
      <c r="W149" s="69"/>
      <c r="X149" s="69"/>
      <c r="Y149" s="69"/>
      <c r="Z149" s="69"/>
      <c r="AA149" s="69"/>
      <c r="AB149" s="69"/>
      <c r="AC149" s="69"/>
      <c r="AD149" s="69"/>
    </row>
    <row r="150" spans="1:30" ht="18" customHeight="1">
      <c r="A150" s="107"/>
      <c r="B150" s="128" t="s">
        <v>124</v>
      </c>
      <c r="C150" s="90" t="s">
        <v>121</v>
      </c>
      <c r="D150" s="109"/>
      <c r="E150" s="109">
        <v>1</v>
      </c>
      <c r="F150" s="109">
        <v>1</v>
      </c>
      <c r="G150" s="122">
        <v>8500</v>
      </c>
      <c r="H150" s="97">
        <v>8500</v>
      </c>
      <c r="I150" s="97">
        <v>8500</v>
      </c>
      <c r="J150" s="109"/>
      <c r="K150" s="110"/>
      <c r="L150" s="69"/>
      <c r="M150" s="69"/>
      <c r="N150" s="69"/>
      <c r="O150" s="69"/>
      <c r="P150" s="69"/>
      <c r="Q150" s="69"/>
      <c r="R150" s="69"/>
      <c r="S150" s="69"/>
      <c r="T150" s="69"/>
      <c r="U150" s="69"/>
      <c r="V150" s="69"/>
      <c r="W150" s="69"/>
      <c r="X150" s="69"/>
      <c r="Y150" s="69"/>
      <c r="Z150" s="69"/>
      <c r="AA150" s="69"/>
      <c r="AB150" s="69"/>
      <c r="AC150" s="69"/>
      <c r="AD150" s="69"/>
    </row>
    <row r="151" spans="1:30" ht="18" customHeight="1">
      <c r="A151" s="107"/>
      <c r="B151" s="128" t="s">
        <v>169</v>
      </c>
      <c r="C151" s="90" t="s">
        <v>121</v>
      </c>
      <c r="D151" s="109"/>
      <c r="E151" s="109">
        <v>6</v>
      </c>
      <c r="F151" s="109">
        <v>6</v>
      </c>
      <c r="G151" s="122">
        <v>5000</v>
      </c>
      <c r="H151" s="97">
        <v>30000</v>
      </c>
      <c r="I151" s="97">
        <v>30000</v>
      </c>
      <c r="J151" s="109"/>
      <c r="K151" s="110"/>
      <c r="L151" s="69"/>
      <c r="M151" s="69"/>
      <c r="N151" s="69"/>
      <c r="O151" s="69"/>
      <c r="P151" s="69"/>
      <c r="Q151" s="69"/>
      <c r="R151" s="69"/>
      <c r="S151" s="69"/>
      <c r="T151" s="69"/>
      <c r="U151" s="69"/>
      <c r="V151" s="69"/>
      <c r="W151" s="69"/>
      <c r="X151" s="69"/>
      <c r="Y151" s="69"/>
      <c r="Z151" s="69"/>
      <c r="AA151" s="69"/>
      <c r="AB151" s="69"/>
      <c r="AC151" s="69"/>
      <c r="AD151" s="69"/>
    </row>
    <row r="152" spans="1:30" ht="18" customHeight="1">
      <c r="A152" s="101" t="s">
        <v>125</v>
      </c>
      <c r="B152" s="102" t="s">
        <v>126</v>
      </c>
      <c r="C152" s="90" t="s">
        <v>127</v>
      </c>
      <c r="D152" s="109"/>
      <c r="E152" s="109"/>
      <c r="F152" s="109"/>
      <c r="G152" s="109"/>
      <c r="H152" s="103">
        <v>87641</v>
      </c>
      <c r="I152" s="103">
        <v>87641</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1" t="s">
        <v>128</v>
      </c>
      <c r="B153" s="102" t="s">
        <v>171</v>
      </c>
      <c r="C153" s="90" t="s">
        <v>127</v>
      </c>
      <c r="D153" s="109"/>
      <c r="E153" s="109"/>
      <c r="F153" s="109"/>
      <c r="G153" s="109"/>
      <c r="H153" s="103">
        <v>53260.5</v>
      </c>
      <c r="I153" s="103">
        <v>53260.5</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9.899999999999999" customHeight="1">
      <c r="A154" s="101" t="s">
        <v>128</v>
      </c>
      <c r="B154" s="102" t="s">
        <v>172</v>
      </c>
      <c r="C154" s="90" t="s">
        <v>127</v>
      </c>
      <c r="D154" s="109"/>
      <c r="E154" s="109"/>
      <c r="F154" s="109"/>
      <c r="G154" s="109">
        <v>400000</v>
      </c>
      <c r="H154" s="103">
        <v>0</v>
      </c>
      <c r="I154" s="103">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9.899999999999999" customHeight="1">
      <c r="A155" s="101" t="s">
        <v>173</v>
      </c>
      <c r="B155" s="102" t="s">
        <v>174</v>
      </c>
      <c r="C155" s="90"/>
      <c r="D155" s="109"/>
      <c r="E155" s="109"/>
      <c r="F155" s="109"/>
      <c r="G155" s="109"/>
      <c r="H155" s="103">
        <v>6000</v>
      </c>
      <c r="I155" s="103">
        <v>6000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s="96" customFormat="1" ht="18" customHeight="1">
      <c r="A156" s="88">
        <v>12</v>
      </c>
      <c r="B156" s="89" t="s">
        <v>131</v>
      </c>
      <c r="C156" s="90"/>
      <c r="D156" s="91"/>
      <c r="E156" s="91"/>
      <c r="F156" s="91"/>
      <c r="G156" s="91"/>
      <c r="H156" s="91">
        <v>150550</v>
      </c>
      <c r="I156" s="91">
        <v>150550</v>
      </c>
      <c r="J156" s="92">
        <f>+H156-D156</f>
        <v>150550</v>
      </c>
      <c r="K156" s="93"/>
      <c r="L156" s="95"/>
      <c r="M156" s="95"/>
      <c r="N156" s="95"/>
      <c r="O156" s="95"/>
      <c r="P156" s="95"/>
      <c r="Q156" s="95"/>
      <c r="R156" s="95"/>
      <c r="S156" s="95"/>
      <c r="T156" s="95"/>
      <c r="U156" s="95"/>
      <c r="V156" s="95"/>
      <c r="W156" s="95"/>
      <c r="X156" s="95"/>
      <c r="Y156" s="95"/>
      <c r="Z156" s="95"/>
      <c r="AA156" s="95"/>
      <c r="AB156" s="95"/>
      <c r="AC156" s="95"/>
      <c r="AD156" s="95"/>
    </row>
    <row r="157" spans="1:30" s="100" customFormat="1" ht="18" hidden="1" customHeight="1">
      <c r="A157" s="101" t="s">
        <v>129</v>
      </c>
      <c r="B157" s="102" t="s">
        <v>133</v>
      </c>
      <c r="C157" s="90"/>
      <c r="D157" s="97"/>
      <c r="E157" s="151"/>
      <c r="F157" s="151"/>
      <c r="G157" s="97"/>
      <c r="H157" s="103"/>
      <c r="I157" s="103"/>
      <c r="J157" s="97"/>
      <c r="K157" s="98"/>
      <c r="L157" s="99"/>
      <c r="M157" s="99"/>
      <c r="N157" s="99"/>
      <c r="O157" s="99"/>
      <c r="P157" s="99"/>
      <c r="Q157" s="99"/>
      <c r="R157" s="99"/>
      <c r="S157" s="99"/>
      <c r="T157" s="99"/>
      <c r="U157" s="99"/>
      <c r="V157" s="99"/>
      <c r="W157" s="99"/>
      <c r="X157" s="99"/>
      <c r="Y157" s="99"/>
      <c r="Z157" s="99"/>
      <c r="AA157" s="99"/>
      <c r="AB157" s="99"/>
      <c r="AC157" s="99"/>
      <c r="AD157" s="99"/>
    </row>
    <row r="158" spans="1:30" s="158" customFormat="1" ht="18" hidden="1" customHeight="1">
      <c r="A158" s="152" t="s">
        <v>24</v>
      </c>
      <c r="B158" s="153" t="s">
        <v>134</v>
      </c>
      <c r="C158" s="90"/>
      <c r="D158" s="154"/>
      <c r="E158" s="155"/>
      <c r="F158" s="155"/>
      <c r="G158" s="154"/>
      <c r="H158" s="154"/>
      <c r="I158" s="154"/>
      <c r="J158" s="154"/>
      <c r="K158" s="156"/>
      <c r="L158" s="157"/>
      <c r="M158" s="157"/>
      <c r="N158" s="157"/>
      <c r="O158" s="157"/>
      <c r="P158" s="157"/>
      <c r="Q158" s="157"/>
      <c r="R158" s="157"/>
      <c r="S158" s="157"/>
      <c r="T158" s="157"/>
      <c r="U158" s="157"/>
      <c r="V158" s="157"/>
      <c r="W158" s="157"/>
      <c r="X158" s="157"/>
      <c r="Y158" s="157"/>
      <c r="Z158" s="157"/>
      <c r="AA158" s="157"/>
      <c r="AB158" s="157"/>
      <c r="AC158" s="157"/>
      <c r="AD158" s="157"/>
    </row>
    <row r="159" spans="1:30" ht="18" hidden="1" customHeight="1">
      <c r="A159" s="107"/>
      <c r="B159" s="108" t="s">
        <v>135</v>
      </c>
      <c r="C159" s="90" t="s">
        <v>49</v>
      </c>
      <c r="D159" s="109"/>
      <c r="E159" s="293"/>
      <c r="F159" s="159"/>
      <c r="G159" s="109"/>
      <c r="H159" s="109"/>
      <c r="I159" s="109"/>
      <c r="J159" s="109"/>
      <c r="K159" s="110"/>
      <c r="L159" s="69"/>
      <c r="M159" s="69"/>
      <c r="N159" s="69"/>
      <c r="O159" s="69"/>
      <c r="P159" s="69"/>
      <c r="Q159" s="69"/>
      <c r="R159" s="69"/>
      <c r="S159" s="69"/>
      <c r="T159" s="69"/>
      <c r="U159" s="69"/>
      <c r="V159" s="69"/>
      <c r="W159" s="69"/>
      <c r="X159" s="69"/>
      <c r="Y159" s="69"/>
      <c r="Z159" s="69"/>
      <c r="AA159" s="69"/>
      <c r="AB159" s="69"/>
      <c r="AC159" s="69"/>
      <c r="AD159" s="69"/>
    </row>
    <row r="160" spans="1:30" ht="18" hidden="1" customHeight="1">
      <c r="A160" s="107"/>
      <c r="B160" s="108" t="s">
        <v>136</v>
      </c>
      <c r="C160" s="90" t="s">
        <v>49</v>
      </c>
      <c r="D160" s="109"/>
      <c r="E160" s="293"/>
      <c r="F160" s="159"/>
      <c r="G160" s="109"/>
      <c r="H160" s="109"/>
      <c r="I160" s="109"/>
      <c r="J160" s="109"/>
      <c r="K160" s="110"/>
      <c r="L160" s="69"/>
      <c r="M160" s="69"/>
      <c r="N160" s="69"/>
      <c r="O160" s="69"/>
      <c r="P160" s="69"/>
      <c r="Q160" s="69"/>
      <c r="R160" s="69"/>
      <c r="S160" s="69"/>
      <c r="T160" s="69"/>
      <c r="U160" s="69"/>
      <c r="V160" s="69"/>
      <c r="W160" s="69"/>
      <c r="X160" s="69"/>
      <c r="Y160" s="69"/>
      <c r="Z160" s="69"/>
      <c r="AA160" s="69"/>
      <c r="AB160" s="69"/>
      <c r="AC160" s="69"/>
      <c r="AD160" s="69"/>
    </row>
    <row r="161" spans="1:30" ht="18" hidden="1" customHeight="1">
      <c r="A161" s="107"/>
      <c r="B161" s="108" t="s">
        <v>294</v>
      </c>
      <c r="C161" s="90" t="s">
        <v>49</v>
      </c>
      <c r="D161" s="109"/>
      <c r="E161" s="293"/>
      <c r="F161" s="159"/>
      <c r="G161" s="109"/>
      <c r="H161" s="109"/>
      <c r="I161" s="109"/>
      <c r="J161" s="109"/>
      <c r="K161" s="110"/>
      <c r="L161" s="69"/>
      <c r="M161" s="69"/>
      <c r="N161" s="69"/>
      <c r="O161" s="69"/>
      <c r="P161" s="69"/>
      <c r="Q161" s="69"/>
      <c r="R161" s="69"/>
      <c r="S161" s="69"/>
      <c r="T161" s="69"/>
      <c r="U161" s="69"/>
      <c r="V161" s="69"/>
      <c r="W161" s="69"/>
      <c r="X161" s="69"/>
      <c r="Y161" s="69"/>
      <c r="Z161" s="69"/>
      <c r="AA161" s="69"/>
      <c r="AB161" s="69"/>
      <c r="AC161" s="69"/>
      <c r="AD161" s="69"/>
    </row>
    <row r="162" spans="1:30" ht="18" hidden="1" customHeight="1">
      <c r="A162" s="107"/>
      <c r="B162" s="108" t="s">
        <v>137</v>
      </c>
      <c r="C162" s="90" t="s">
        <v>49</v>
      </c>
      <c r="D162" s="109"/>
      <c r="E162" s="293"/>
      <c r="F162" s="159"/>
      <c r="G162" s="109"/>
      <c r="H162" s="109"/>
      <c r="I162" s="109"/>
      <c r="J162" s="109"/>
      <c r="K162" s="110"/>
      <c r="L162" s="69"/>
      <c r="M162" s="69"/>
      <c r="N162" s="69"/>
      <c r="O162" s="69"/>
      <c r="P162" s="69"/>
      <c r="Q162" s="69"/>
      <c r="R162" s="69"/>
      <c r="S162" s="69"/>
      <c r="T162" s="69"/>
      <c r="U162" s="69"/>
      <c r="V162" s="69"/>
      <c r="W162" s="69"/>
      <c r="X162" s="69"/>
      <c r="Y162" s="69"/>
      <c r="Z162" s="69"/>
      <c r="AA162" s="69"/>
      <c r="AB162" s="69"/>
      <c r="AC162" s="69"/>
      <c r="AD162" s="69"/>
    </row>
    <row r="163" spans="1:30" s="158" customFormat="1" ht="18" hidden="1" customHeight="1">
      <c r="A163" s="152" t="s">
        <v>25</v>
      </c>
      <c r="B163" s="153" t="s">
        <v>138</v>
      </c>
      <c r="C163" s="90"/>
      <c r="D163" s="154"/>
      <c r="E163" s="155"/>
      <c r="F163" s="155"/>
      <c r="G163" s="154"/>
      <c r="H163" s="154"/>
      <c r="I163" s="154"/>
      <c r="J163" s="154"/>
      <c r="K163" s="156"/>
      <c r="L163" s="157"/>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107"/>
      <c r="B164" s="108" t="s">
        <v>139</v>
      </c>
      <c r="C164" s="90" t="s">
        <v>140</v>
      </c>
      <c r="D164" s="109"/>
      <c r="E164" s="287"/>
      <c r="F164" s="109"/>
      <c r="G164" s="109"/>
      <c r="H164" s="109"/>
      <c r="I164" s="109"/>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141</v>
      </c>
      <c r="C165" s="90" t="s">
        <v>142</v>
      </c>
      <c r="D165" s="109"/>
      <c r="E165" s="293"/>
      <c r="F165" s="159"/>
      <c r="G165" s="109"/>
      <c r="H165" s="109"/>
      <c r="I165" s="109"/>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s="100" customFormat="1" ht="18" hidden="1" customHeight="1">
      <c r="A166" s="101" t="s">
        <v>130</v>
      </c>
      <c r="B166" s="102" t="s">
        <v>144</v>
      </c>
      <c r="C166" s="90"/>
      <c r="D166" s="97"/>
      <c r="E166" s="103"/>
      <c r="F166" s="103"/>
      <c r="G166" s="97"/>
      <c r="H166" s="103"/>
      <c r="I166" s="103"/>
      <c r="J166" s="97"/>
      <c r="K166" s="98"/>
      <c r="L166" s="99"/>
      <c r="M166" s="99"/>
      <c r="N166" s="99"/>
      <c r="O166" s="99"/>
      <c r="P166" s="99"/>
      <c r="Q166" s="99"/>
      <c r="R166" s="99"/>
      <c r="S166" s="99"/>
      <c r="T166" s="99"/>
      <c r="U166" s="99"/>
      <c r="V166" s="99"/>
      <c r="W166" s="99"/>
      <c r="X166" s="99"/>
      <c r="Y166" s="99"/>
      <c r="Z166" s="99"/>
      <c r="AA166" s="99"/>
      <c r="AB166" s="99"/>
      <c r="AC166" s="99"/>
      <c r="AD166" s="99"/>
    </row>
    <row r="167" spans="1:30" s="100" customFormat="1" ht="16.5" hidden="1" customHeight="1">
      <c r="A167" s="101" t="s">
        <v>175</v>
      </c>
      <c r="B167" s="102" t="s">
        <v>145</v>
      </c>
      <c r="C167" s="90"/>
      <c r="D167" s="97"/>
      <c r="E167" s="103"/>
      <c r="F167" s="103"/>
      <c r="G167" s="97"/>
      <c r="H167" s="103"/>
      <c r="I167" s="103"/>
      <c r="J167" s="97"/>
      <c r="K167" s="98"/>
      <c r="L167" s="99"/>
      <c r="M167" s="99"/>
      <c r="N167" s="99"/>
      <c r="O167" s="99"/>
      <c r="P167" s="99"/>
      <c r="Q167" s="99"/>
      <c r="R167" s="99"/>
      <c r="S167" s="99"/>
      <c r="T167" s="99"/>
      <c r="U167" s="99"/>
      <c r="V167" s="99"/>
      <c r="W167" s="99"/>
      <c r="X167" s="99"/>
      <c r="Y167" s="99"/>
      <c r="Z167" s="99"/>
      <c r="AA167" s="99"/>
      <c r="AB167" s="99"/>
      <c r="AC167" s="99"/>
      <c r="AD167" s="99"/>
    </row>
    <row r="168" spans="1:30" s="100" customFormat="1" ht="16.5" hidden="1" customHeight="1">
      <c r="A168" s="101" t="s">
        <v>176</v>
      </c>
      <c r="B168" s="102" t="s">
        <v>146</v>
      </c>
      <c r="C168" s="90"/>
      <c r="D168" s="97"/>
      <c r="E168" s="103"/>
      <c r="F168" s="103"/>
      <c r="G168" s="97"/>
      <c r="H168" s="103"/>
      <c r="I168" s="103"/>
      <c r="J168" s="97"/>
      <c r="K168" s="98"/>
      <c r="L168" s="99"/>
      <c r="M168" s="99"/>
      <c r="N168" s="99"/>
      <c r="O168" s="99"/>
      <c r="P168" s="99"/>
      <c r="Q168" s="99"/>
      <c r="R168" s="99"/>
      <c r="S168" s="99"/>
      <c r="T168" s="99"/>
      <c r="U168" s="99"/>
      <c r="V168" s="99"/>
      <c r="W168" s="99"/>
      <c r="X168" s="99"/>
      <c r="Y168" s="99"/>
      <c r="Z168" s="99"/>
      <c r="AA168" s="99"/>
      <c r="AB168" s="99"/>
      <c r="AC168" s="99"/>
      <c r="AD168" s="99"/>
    </row>
    <row r="169" spans="1:30" s="96" customFormat="1" ht="18" customHeight="1">
      <c r="A169" s="88">
        <v>13</v>
      </c>
      <c r="B169" s="89" t="s">
        <v>147</v>
      </c>
      <c r="C169" s="90"/>
      <c r="D169" s="91"/>
      <c r="E169" s="91"/>
      <c r="F169" s="91"/>
      <c r="G169" s="91"/>
      <c r="H169" s="91">
        <v>52760</v>
      </c>
      <c r="I169" s="91">
        <v>52760</v>
      </c>
      <c r="J169" s="92">
        <f>+H169-D169</f>
        <v>52760</v>
      </c>
      <c r="K169" s="93"/>
      <c r="L169" s="95"/>
      <c r="M169" s="95"/>
      <c r="N169" s="95"/>
      <c r="O169" s="95"/>
      <c r="P169" s="95"/>
      <c r="Q169" s="95"/>
      <c r="R169" s="95"/>
      <c r="S169" s="95"/>
      <c r="T169" s="95"/>
      <c r="U169" s="95"/>
      <c r="V169" s="95"/>
      <c r="W169" s="95"/>
      <c r="X169" s="95"/>
      <c r="Y169" s="95"/>
      <c r="Z169" s="95"/>
      <c r="AA169" s="95"/>
      <c r="AB169" s="95"/>
      <c r="AC169" s="95"/>
      <c r="AD169" s="95"/>
    </row>
    <row r="170" spans="1:30" s="96" customFormat="1" ht="17.25" customHeight="1">
      <c r="A170" s="101" t="s">
        <v>132</v>
      </c>
      <c r="B170" s="102" t="s">
        <v>148</v>
      </c>
      <c r="C170" s="90"/>
      <c r="D170" s="91"/>
      <c r="E170" s="91"/>
      <c r="F170" s="91"/>
      <c r="G170" s="91"/>
      <c r="H170" s="103">
        <v>41560</v>
      </c>
      <c r="I170" s="103">
        <v>41560</v>
      </c>
      <c r="J170" s="91"/>
      <c r="K170" s="93"/>
      <c r="L170" s="95"/>
      <c r="M170" s="95"/>
      <c r="N170" s="95"/>
      <c r="O170" s="95"/>
      <c r="P170" s="95"/>
      <c r="Q170" s="95"/>
      <c r="R170" s="95"/>
      <c r="S170" s="95"/>
      <c r="T170" s="95"/>
      <c r="U170" s="95"/>
      <c r="V170" s="95"/>
      <c r="W170" s="95"/>
      <c r="X170" s="95"/>
      <c r="Y170" s="95"/>
      <c r="Z170" s="95"/>
      <c r="AA170" s="95"/>
      <c r="AB170" s="95"/>
      <c r="AC170" s="95"/>
      <c r="AD170" s="95"/>
    </row>
    <row r="171" spans="1:30" s="96" customFormat="1" ht="33.6" customHeight="1">
      <c r="A171" s="101" t="s">
        <v>143</v>
      </c>
      <c r="B171" s="102" t="s">
        <v>341</v>
      </c>
      <c r="C171" s="90"/>
      <c r="D171" s="91"/>
      <c r="E171" s="91">
        <v>14</v>
      </c>
      <c r="F171" s="91">
        <v>14</v>
      </c>
      <c r="G171" s="122">
        <v>800</v>
      </c>
      <c r="H171" s="91">
        <v>11200</v>
      </c>
      <c r="I171" s="91">
        <v>11200</v>
      </c>
      <c r="J171" s="91"/>
      <c r="K171" s="93"/>
      <c r="L171" s="95"/>
      <c r="M171" s="95"/>
      <c r="N171" s="95"/>
      <c r="O171" s="95"/>
      <c r="P171" s="95"/>
      <c r="Q171" s="95"/>
      <c r="R171" s="95"/>
      <c r="S171" s="95"/>
      <c r="T171" s="95"/>
      <c r="U171" s="95"/>
      <c r="V171" s="95"/>
      <c r="W171" s="95"/>
      <c r="X171" s="95"/>
      <c r="Y171" s="95"/>
      <c r="Z171" s="95"/>
      <c r="AA171" s="95"/>
      <c r="AB171" s="95"/>
      <c r="AC171" s="95"/>
      <c r="AD171" s="95"/>
    </row>
    <row r="172" spans="1:30" s="96" customFormat="1" ht="48.75" customHeight="1">
      <c r="A172" s="88">
        <v>15</v>
      </c>
      <c r="B172" s="89" t="s">
        <v>177</v>
      </c>
      <c r="C172" s="90"/>
      <c r="D172" s="91"/>
      <c r="E172" s="91"/>
      <c r="F172" s="91"/>
      <c r="G172" s="91"/>
      <c r="H172" s="91">
        <v>1443719.2803725153</v>
      </c>
      <c r="I172" s="91">
        <v>1443719.2803725153</v>
      </c>
      <c r="J172" s="92">
        <f>+H172-D172</f>
        <v>1443719.2803725153</v>
      </c>
      <c r="K172" s="93"/>
      <c r="L172" s="95"/>
      <c r="M172" s="95"/>
      <c r="N172" s="95"/>
      <c r="O172" s="95"/>
      <c r="P172" s="95"/>
      <c r="Q172" s="95"/>
      <c r="R172" s="95"/>
      <c r="S172" s="95"/>
      <c r="T172" s="95"/>
      <c r="U172" s="95"/>
      <c r="V172" s="95"/>
      <c r="W172" s="95"/>
      <c r="X172" s="95"/>
      <c r="Y172" s="95"/>
      <c r="Z172" s="95"/>
      <c r="AA172" s="95"/>
      <c r="AB172" s="95"/>
      <c r="AC172" s="95"/>
      <c r="AD172" s="95"/>
    </row>
    <row r="173" spans="1:30" ht="20.25" hidden="1" customHeight="1" thickBot="1">
      <c r="A173" s="160"/>
      <c r="B173" s="161" t="s">
        <v>149</v>
      </c>
      <c r="C173" s="162" t="s">
        <v>54</v>
      </c>
      <c r="D173" s="163">
        <v>6151958.8457523556</v>
      </c>
      <c r="E173" s="164"/>
      <c r="F173" s="164"/>
      <c r="G173" s="164"/>
      <c r="H173" s="163">
        <v>4708239.5653798403</v>
      </c>
      <c r="I173" s="163">
        <v>4708239.5653798403</v>
      </c>
      <c r="J173" s="165">
        <f>+H173-D173</f>
        <v>-1443719.2803725153</v>
      </c>
      <c r="K173" s="166">
        <f>+H173/D173*100</f>
        <v>76.532364461941469</v>
      </c>
      <c r="L173" s="69"/>
      <c r="M173" s="69"/>
      <c r="N173" s="69"/>
      <c r="O173" s="69"/>
      <c r="P173" s="69"/>
      <c r="Q173" s="69"/>
      <c r="R173" s="69"/>
      <c r="S173" s="69"/>
      <c r="T173" s="69"/>
      <c r="U173" s="69"/>
      <c r="V173" s="69"/>
      <c r="W173" s="69"/>
      <c r="X173" s="69"/>
      <c r="Y173" s="69"/>
      <c r="Z173" s="69"/>
      <c r="AA173" s="69"/>
      <c r="AB173" s="69"/>
      <c r="AC173" s="69"/>
      <c r="AD173" s="69"/>
    </row>
    <row r="174" spans="1:30" ht="23.25" hidden="1" customHeight="1">
      <c r="A174" s="167"/>
      <c r="B174" s="168" t="s">
        <v>150</v>
      </c>
      <c r="C174" s="169"/>
      <c r="D174" s="169"/>
      <c r="E174" s="169"/>
      <c r="F174" s="169"/>
      <c r="G174" s="169"/>
      <c r="H174" s="170"/>
      <c r="I174" s="170"/>
      <c r="J174" s="170"/>
      <c r="K174" s="171"/>
      <c r="L174" s="69"/>
      <c r="M174" s="69"/>
      <c r="N174" s="69"/>
      <c r="O174" s="69"/>
      <c r="P174" s="69"/>
      <c r="Q174" s="69"/>
      <c r="R174" s="69"/>
      <c r="S174" s="69"/>
      <c r="T174" s="69"/>
      <c r="U174" s="69"/>
      <c r="V174" s="69"/>
      <c r="W174" s="69"/>
      <c r="X174" s="69"/>
      <c r="Y174" s="69"/>
      <c r="Z174" s="69"/>
      <c r="AA174" s="69"/>
      <c r="AB174" s="69"/>
      <c r="AC174" s="69"/>
      <c r="AD174" s="69"/>
    </row>
    <row r="175" spans="1:30" s="106" customFormat="1" ht="18.75" hidden="1" customHeight="1">
      <c r="A175" s="172"/>
      <c r="B175" s="173" t="s">
        <v>157</v>
      </c>
      <c r="C175" s="103"/>
      <c r="D175" s="103"/>
      <c r="E175" s="103"/>
      <c r="F175" s="103"/>
      <c r="G175" s="103"/>
      <c r="H175" s="103"/>
      <c r="I175" s="103"/>
      <c r="J175" s="103"/>
      <c r="K175" s="104"/>
      <c r="L175" s="123"/>
      <c r="M175" s="105"/>
      <c r="N175" s="105"/>
      <c r="O175" s="105"/>
      <c r="P175" s="105"/>
      <c r="Q175" s="105"/>
      <c r="R175" s="105"/>
      <c r="S175" s="105"/>
      <c r="T175" s="105"/>
      <c r="U175" s="105"/>
      <c r="V175" s="105"/>
      <c r="W175" s="105"/>
      <c r="X175" s="105"/>
      <c r="Y175" s="105"/>
      <c r="Z175" s="105"/>
      <c r="AA175" s="105"/>
      <c r="AB175" s="105"/>
      <c r="AC175" s="105"/>
      <c r="AD175" s="105"/>
    </row>
    <row r="176" spans="1:30" ht="15.75" hidden="1">
      <c r="A176" s="174">
        <v>1</v>
      </c>
      <c r="B176" s="970" t="s">
        <v>151</v>
      </c>
      <c r="C176" s="970"/>
      <c r="D176" s="970"/>
      <c r="E176" s="109"/>
      <c r="F176" s="109"/>
      <c r="G176" s="175">
        <v>0.35</v>
      </c>
      <c r="H176" s="133"/>
      <c r="I176" s="133"/>
      <c r="J176" s="109"/>
      <c r="K176" s="110"/>
      <c r="L176" s="69"/>
      <c r="M176" s="69"/>
      <c r="N176" s="69"/>
      <c r="O176" s="69"/>
      <c r="P176" s="69"/>
      <c r="Q176" s="69"/>
      <c r="R176" s="69"/>
      <c r="S176" s="69"/>
      <c r="T176" s="69"/>
      <c r="U176" s="69"/>
      <c r="V176" s="69"/>
      <c r="W176" s="69"/>
      <c r="X176" s="69"/>
      <c r="Y176" s="69"/>
      <c r="Z176" s="69"/>
      <c r="AA176" s="69"/>
      <c r="AB176" s="69"/>
      <c r="AC176" s="69"/>
      <c r="AD176" s="69"/>
    </row>
    <row r="177" spans="1:30" ht="15.75" hidden="1">
      <c r="A177" s="174">
        <v>3</v>
      </c>
      <c r="B177" s="970" t="s">
        <v>152</v>
      </c>
      <c r="C177" s="970"/>
      <c r="D177" s="970"/>
      <c r="E177" s="109"/>
      <c r="F177" s="109"/>
      <c r="G177" s="109"/>
      <c r="H177" s="109"/>
      <c r="I177" s="109"/>
      <c r="J177" s="109"/>
      <c r="K177" s="110"/>
      <c r="L177" s="69"/>
      <c r="M177" s="69"/>
      <c r="N177" s="69"/>
      <c r="O177" s="69"/>
      <c r="P177" s="69"/>
      <c r="Q177" s="69"/>
      <c r="R177" s="69"/>
      <c r="S177" s="69"/>
      <c r="T177" s="69"/>
      <c r="U177" s="69"/>
      <c r="V177" s="69"/>
      <c r="W177" s="69"/>
      <c r="X177" s="69"/>
      <c r="Y177" s="69"/>
      <c r="Z177" s="69"/>
      <c r="AA177" s="69"/>
      <c r="AB177" s="69"/>
      <c r="AC177" s="69"/>
      <c r="AD177" s="69"/>
    </row>
    <row r="178" spans="1:30" ht="15.75" hidden="1">
      <c r="A178" s="174">
        <v>4</v>
      </c>
      <c r="B178" s="970" t="s">
        <v>153</v>
      </c>
      <c r="C178" s="970"/>
      <c r="D178" s="970"/>
      <c r="E178" s="109"/>
      <c r="F178" s="109"/>
      <c r="G178" s="109"/>
      <c r="H178" s="176"/>
      <c r="I178" s="176"/>
      <c r="J178" s="109"/>
      <c r="K178" s="110"/>
      <c r="L178" s="69"/>
      <c r="M178" s="69"/>
      <c r="N178" s="69"/>
      <c r="O178" s="69"/>
      <c r="P178" s="69"/>
      <c r="Q178" s="69"/>
      <c r="R178" s="69"/>
      <c r="S178" s="69"/>
      <c r="T178" s="69"/>
      <c r="U178" s="69"/>
      <c r="V178" s="69"/>
      <c r="W178" s="69"/>
      <c r="X178" s="69"/>
      <c r="Y178" s="69"/>
      <c r="Z178" s="69"/>
      <c r="AA178" s="69"/>
      <c r="AB178" s="69"/>
      <c r="AC178" s="69"/>
      <c r="AD178" s="69"/>
    </row>
    <row r="179" spans="1:30" ht="15.75" hidden="1">
      <c r="A179" s="174">
        <v>5</v>
      </c>
      <c r="B179" s="970" t="s">
        <v>154</v>
      </c>
      <c r="C179" s="970"/>
      <c r="D179" s="970"/>
      <c r="E179" s="109"/>
      <c r="F179" s="109"/>
      <c r="G179" s="109"/>
      <c r="H179" s="109"/>
      <c r="I179" s="109"/>
      <c r="J179" s="109"/>
      <c r="K179" s="110"/>
      <c r="L179" s="69"/>
      <c r="M179" s="69"/>
      <c r="N179" s="69"/>
      <c r="O179" s="69"/>
      <c r="P179" s="69"/>
      <c r="Q179" s="69"/>
      <c r="R179" s="69"/>
      <c r="S179" s="69"/>
      <c r="T179" s="69"/>
      <c r="U179" s="69"/>
      <c r="V179" s="69"/>
      <c r="W179" s="69"/>
      <c r="X179" s="69"/>
      <c r="Y179" s="69"/>
      <c r="Z179" s="69"/>
      <c r="AA179" s="69"/>
      <c r="AB179" s="69"/>
      <c r="AC179" s="69"/>
      <c r="AD179" s="69"/>
    </row>
    <row r="180" spans="1:30" ht="15.75" hidden="1">
      <c r="A180" s="174">
        <v>6</v>
      </c>
      <c r="B180" s="970" t="s">
        <v>155</v>
      </c>
      <c r="C180" s="970"/>
      <c r="D180" s="970"/>
      <c r="E180" s="109"/>
      <c r="F180" s="109"/>
      <c r="G180" s="109"/>
      <c r="H180" s="109"/>
      <c r="I180" s="109"/>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c r="B181" s="970" t="s">
        <v>156</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9" customHeight="1" thickBot="1">
      <c r="A182" s="177"/>
      <c r="B182" s="178"/>
      <c r="C182" s="164"/>
      <c r="D182" s="164"/>
      <c r="E182" s="164"/>
      <c r="F182" s="164"/>
      <c r="G182" s="164"/>
      <c r="H182" s="164"/>
      <c r="I182" s="164"/>
      <c r="J182" s="164"/>
      <c r="K182" s="179"/>
      <c r="L182" s="69"/>
      <c r="M182" s="69"/>
      <c r="N182" s="69"/>
      <c r="O182" s="69"/>
      <c r="P182" s="69"/>
      <c r="Q182" s="69"/>
      <c r="R182" s="69"/>
      <c r="S182" s="69"/>
      <c r="T182" s="69"/>
      <c r="U182" s="69"/>
      <c r="V182" s="69"/>
      <c r="W182" s="69"/>
      <c r="X182" s="69"/>
      <c r="Y182" s="69"/>
      <c r="Z182" s="69"/>
      <c r="AA182" s="69"/>
      <c r="AB182" s="69"/>
      <c r="AC182" s="69"/>
      <c r="AD182" s="69"/>
    </row>
    <row r="183" spans="1:30" ht="15.75">
      <c r="A183" s="123"/>
      <c r="B183" s="123"/>
      <c r="D183" s="123"/>
      <c r="E183" s="180"/>
      <c r="F183" s="180"/>
      <c r="G183" s="123"/>
      <c r="H183" s="123"/>
      <c r="I183" s="123"/>
      <c r="J183" s="123"/>
      <c r="K183" s="69"/>
      <c r="L183" s="69"/>
      <c r="M183" s="69"/>
      <c r="N183" s="69"/>
      <c r="O183" s="69"/>
      <c r="P183" s="69"/>
      <c r="Q183" s="69"/>
      <c r="R183" s="69"/>
      <c r="S183" s="69"/>
      <c r="T183" s="69"/>
      <c r="U183" s="69"/>
      <c r="V183" s="69"/>
      <c r="W183" s="69"/>
      <c r="X183" s="69"/>
      <c r="Y183" s="69"/>
      <c r="Z183" s="69"/>
      <c r="AA183" s="69"/>
      <c r="AB183" s="69"/>
      <c r="AC183" s="69"/>
      <c r="AD183" s="69"/>
    </row>
    <row r="184" spans="1:30" ht="15.75">
      <c r="A184" s="123"/>
      <c r="B184" s="94"/>
      <c r="C184" s="123"/>
      <c r="D184" s="123"/>
      <c r="E184" s="123"/>
      <c r="F184" s="123"/>
      <c r="G184" s="123"/>
      <c r="H184" s="123"/>
      <c r="I184" s="123"/>
      <c r="J184" s="123"/>
      <c r="K184" s="69"/>
      <c r="L184" s="69"/>
      <c r="M184" s="69"/>
      <c r="N184" s="69"/>
      <c r="O184" s="69"/>
      <c r="P184" s="69"/>
      <c r="Q184" s="69"/>
      <c r="R184" s="69"/>
      <c r="S184" s="69"/>
      <c r="T184" s="69"/>
      <c r="U184" s="69"/>
      <c r="V184" s="69"/>
      <c r="W184" s="69"/>
      <c r="X184" s="69"/>
      <c r="Y184" s="69"/>
      <c r="Z184" s="69"/>
      <c r="AA184" s="69"/>
      <c r="AB184" s="69"/>
      <c r="AC184" s="69"/>
      <c r="AD184" s="69"/>
    </row>
    <row r="185" spans="1:30">
      <c r="A185" s="123"/>
      <c r="B185" s="123"/>
      <c r="C185" s="123"/>
      <c r="D185" s="123"/>
      <c r="E185" s="123"/>
      <c r="F185" s="123"/>
      <c r="G185" s="123"/>
      <c r="H185" s="123"/>
      <c r="I185" s="123"/>
      <c r="J185" s="123"/>
      <c r="K185" s="69"/>
      <c r="L185" s="69"/>
      <c r="M185" s="69"/>
      <c r="N185" s="69"/>
      <c r="O185" s="69"/>
      <c r="P185" s="69"/>
      <c r="Q185" s="69"/>
      <c r="R185" s="69"/>
      <c r="S185" s="69"/>
      <c r="T185" s="69"/>
      <c r="U185" s="69"/>
      <c r="V185" s="69"/>
      <c r="W185" s="69"/>
      <c r="X185" s="69"/>
      <c r="Y185" s="69"/>
      <c r="Z185" s="69"/>
      <c r="AA185" s="69"/>
      <c r="AB185" s="69"/>
      <c r="AC185" s="69"/>
      <c r="AD185" s="69"/>
    </row>
    <row r="186" spans="1:30">
      <c r="A186" s="123"/>
      <c r="B186" s="123"/>
      <c r="C186" s="69"/>
      <c r="D186" s="69"/>
      <c r="E186" s="69"/>
      <c r="F186" s="69"/>
      <c r="G186" s="69"/>
      <c r="H186" s="123"/>
      <c r="I186" s="69"/>
      <c r="J186" s="69"/>
      <c r="K186" s="69"/>
      <c r="L186" s="69"/>
      <c r="M186" s="69"/>
      <c r="N186" s="69"/>
      <c r="O186" s="69"/>
      <c r="P186" s="69"/>
      <c r="Q186" s="69"/>
      <c r="R186" s="69"/>
      <c r="S186" s="69"/>
      <c r="T186" s="69"/>
      <c r="U186" s="69"/>
      <c r="V186" s="69"/>
      <c r="W186" s="69"/>
      <c r="X186" s="69"/>
      <c r="Y186" s="69"/>
      <c r="Z186" s="69"/>
      <c r="AA186" s="69"/>
      <c r="AB186" s="69"/>
      <c r="AC186" s="69"/>
      <c r="AD186" s="69"/>
    </row>
    <row r="187" spans="1:30">
      <c r="A187" s="117"/>
      <c r="B187" s="117"/>
      <c r="C187" s="181"/>
      <c r="D187" s="117"/>
      <c r="E187" s="181"/>
      <c r="F187" s="181"/>
      <c r="G187" s="117"/>
      <c r="H187" s="117"/>
      <c r="I187" s="117"/>
      <c r="J187" s="117"/>
    </row>
  </sheetData>
  <mergeCells count="18">
    <mergeCell ref="A2:K2"/>
    <mergeCell ref="A3:K3"/>
    <mergeCell ref="A6:A8"/>
    <mergeCell ref="B6:B8"/>
    <mergeCell ref="C6:C8"/>
    <mergeCell ref="D6:D8"/>
    <mergeCell ref="J6:K6"/>
    <mergeCell ref="E7:F7"/>
    <mergeCell ref="G7:G8"/>
    <mergeCell ref="H7:I7"/>
    <mergeCell ref="B180:D180"/>
    <mergeCell ref="B181:D181"/>
    <mergeCell ref="J7:J8"/>
    <mergeCell ref="K7:K8"/>
    <mergeCell ref="B176:D176"/>
    <mergeCell ref="B177:D177"/>
    <mergeCell ref="B178:D178"/>
    <mergeCell ref="B179:D179"/>
  </mergeCells>
  <phoneticPr fontId="3" type="noConversion"/>
  <printOptions horizontalCentered="1"/>
  <pageMargins left="0" right="0" top="0.23622047244094491" bottom="0.35433070866141736" header="0.19685039370078741" footer="0"/>
  <pageSetup paperSize="9" scale="61" fitToHeight="4" orientation="portrait" r:id="rId1"/>
  <headerFooter alignWithMargins="0">
    <oddHeader>&amp;RTrang &amp;P/&amp;N</oddHeader>
    <oddFooter>&amp;L&amp;"DialogDict,Regular"&amp;8&amp;D - &amp;T - &amp;F - &amp;A</oddFooter>
  </headerFooter>
  <rowBreaks count="2" manualBreakCount="2">
    <brk id="63" max="10" man="1"/>
    <brk id="120" max="1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0"/>
  <sheetViews>
    <sheetView workbookViewId="0">
      <pane xSplit="9" ySplit="6" topLeftCell="J7"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44" style="580" customWidth="1"/>
    <col min="3" max="3" width="12.140625" style="580" customWidth="1"/>
    <col min="4" max="4" width="11.7109375" style="580" customWidth="1"/>
    <col min="5" max="5" width="11.85546875" style="580" customWidth="1"/>
    <col min="6" max="6" width="11.5703125" style="580" customWidth="1"/>
    <col min="7" max="7" width="11.85546875" style="580" customWidth="1"/>
    <col min="8" max="8" width="9.140625" style="580"/>
    <col min="9" max="11" width="14.5703125" style="580" bestFit="1" customWidth="1"/>
    <col min="12" max="12" width="13.140625" style="580" customWidth="1"/>
    <col min="13" max="16384" width="9.140625" style="580"/>
  </cols>
  <sheetData>
    <row r="1" spans="1:11">
      <c r="A1" s="1015" t="s">
        <v>870</v>
      </c>
      <c r="B1" s="1015"/>
      <c r="C1" s="1015"/>
      <c r="D1" s="1015"/>
      <c r="E1" s="1015"/>
      <c r="F1" s="1015"/>
      <c r="G1" s="1015"/>
    </row>
    <row r="2" spans="1:11" ht="47.25" customHeight="1">
      <c r="A2" s="1016" t="s">
        <v>696</v>
      </c>
      <c r="B2" s="1016"/>
      <c r="C2" s="1016"/>
      <c r="D2" s="1016"/>
      <c r="E2" s="1016"/>
      <c r="F2" s="1016"/>
      <c r="G2" s="1016"/>
    </row>
    <row r="3" spans="1:11">
      <c r="A3" s="1085" t="s">
        <v>878</v>
      </c>
      <c r="B3" s="1085"/>
      <c r="C3" s="1085"/>
      <c r="D3" s="1085"/>
      <c r="E3" s="1085"/>
      <c r="F3" s="1085"/>
      <c r="G3" s="1085"/>
    </row>
    <row r="4" spans="1:11">
      <c r="A4" s="1012" t="s">
        <v>199</v>
      </c>
      <c r="B4" s="1012"/>
      <c r="C4" s="1012"/>
      <c r="D4" s="1012"/>
      <c r="E4" s="1012"/>
      <c r="F4" s="1012"/>
      <c r="G4" s="1012"/>
    </row>
    <row r="5" spans="1:11" ht="66">
      <c r="A5" s="751" t="s">
        <v>11</v>
      </c>
      <c r="B5" s="751" t="s">
        <v>289</v>
      </c>
      <c r="C5" s="751" t="s">
        <v>400</v>
      </c>
      <c r="D5" s="751" t="s">
        <v>641</v>
      </c>
      <c r="E5" s="751" t="s">
        <v>697</v>
      </c>
      <c r="F5" s="751" t="s">
        <v>698</v>
      </c>
      <c r="G5" s="751" t="s">
        <v>699</v>
      </c>
    </row>
    <row r="6" spans="1:11">
      <c r="A6" s="751" t="s">
        <v>12</v>
      </c>
      <c r="B6" s="751" t="s">
        <v>13</v>
      </c>
      <c r="C6" s="751">
        <v>1</v>
      </c>
      <c r="D6" s="751">
        <v>2</v>
      </c>
      <c r="E6" s="751">
        <v>3</v>
      </c>
      <c r="F6" s="751">
        <v>4</v>
      </c>
      <c r="G6" s="751">
        <v>5</v>
      </c>
    </row>
    <row r="7" spans="1:11">
      <c r="A7" s="766" t="s">
        <v>12</v>
      </c>
      <c r="B7" s="767" t="s">
        <v>700</v>
      </c>
      <c r="C7" s="793"/>
      <c r="D7" s="793"/>
      <c r="E7" s="793"/>
      <c r="F7" s="793"/>
      <c r="G7" s="793"/>
    </row>
    <row r="8" spans="1:11">
      <c r="A8" s="634" t="s">
        <v>17</v>
      </c>
      <c r="B8" s="635" t="s">
        <v>701</v>
      </c>
      <c r="C8" s="790" t="e">
        <f>C9+C10+C13+C14+C15</f>
        <v>#REF!</v>
      </c>
      <c r="D8" s="776" t="e">
        <f t="shared" ref="D8:G8" si="0">D9+D10+D13+D14+D15</f>
        <v>#REF!</v>
      </c>
      <c r="E8" s="776">
        <f t="shared" si="0"/>
        <v>16571341</v>
      </c>
      <c r="F8" s="776">
        <f t="shared" si="0"/>
        <v>16637224</v>
      </c>
      <c r="G8" s="776">
        <f t="shared" si="0"/>
        <v>17668443</v>
      </c>
    </row>
    <row r="9" spans="1:11">
      <c r="A9" s="637">
        <v>1</v>
      </c>
      <c r="B9" s="638" t="s">
        <v>630</v>
      </c>
      <c r="C9" s="775" t="e">
        <f>'Biểu 47'!#REF!</f>
        <v>#REF!</v>
      </c>
      <c r="D9" s="775" t="e">
        <f>'Biểu 47'!#REF!</f>
        <v>#REF!</v>
      </c>
      <c r="E9" s="775">
        <f>'Biểu 47'!C11</f>
        <v>10261342</v>
      </c>
      <c r="F9" s="775">
        <v>11570583</v>
      </c>
      <c r="G9" s="775">
        <v>13430688</v>
      </c>
      <c r="J9" s="621">
        <f>E16-'Bieu 10'!D7</f>
        <v>0</v>
      </c>
      <c r="K9" s="621">
        <f>E9+E25</f>
        <v>13681572</v>
      </c>
    </row>
    <row r="10" spans="1:11">
      <c r="A10" s="637">
        <v>2</v>
      </c>
      <c r="B10" s="638" t="s">
        <v>631</v>
      </c>
      <c r="C10" s="775" t="e">
        <f>C11+C12</f>
        <v>#REF!</v>
      </c>
      <c r="D10" s="775" t="e">
        <f t="shared" ref="D10:E10" si="1">D11+D12</f>
        <v>#REF!</v>
      </c>
      <c r="E10" s="775">
        <f t="shared" si="1"/>
        <v>2464674</v>
      </c>
      <c r="F10" s="775">
        <f t="shared" ref="F10" si="2">F11+F12</f>
        <v>2711141</v>
      </c>
      <c r="G10" s="775">
        <f t="shared" ref="G10" si="3">G11+G12</f>
        <v>2982255</v>
      </c>
    </row>
    <row r="11" spans="1:11">
      <c r="A11" s="637" t="s">
        <v>257</v>
      </c>
      <c r="B11" s="638" t="s">
        <v>579</v>
      </c>
      <c r="C11" s="775"/>
      <c r="D11" s="775"/>
      <c r="E11" s="775"/>
      <c r="F11" s="775"/>
      <c r="G11" s="775"/>
    </row>
    <row r="12" spans="1:11">
      <c r="A12" s="637" t="s">
        <v>257</v>
      </c>
      <c r="B12" s="638" t="s">
        <v>580</v>
      </c>
      <c r="C12" s="775" t="e">
        <f>'Biểu 47'!#REF!</f>
        <v>#REF!</v>
      </c>
      <c r="D12" s="775" t="e">
        <f>'Biểu 47'!#REF!</f>
        <v>#REF!</v>
      </c>
      <c r="E12" s="775">
        <f>'Biểu 47'!C15</f>
        <v>2464674</v>
      </c>
      <c r="F12" s="775">
        <f>ROUND(E12*1.1,0)</f>
        <v>2711141</v>
      </c>
      <c r="G12" s="775">
        <f>ROUND(F12*1.1,0)</f>
        <v>2982255</v>
      </c>
    </row>
    <row r="13" spans="1:11">
      <c r="A13" s="637">
        <v>3</v>
      </c>
      <c r="B13" s="638" t="s">
        <v>581</v>
      </c>
      <c r="C13" s="775"/>
      <c r="D13" s="775"/>
      <c r="E13" s="775"/>
      <c r="F13" s="775"/>
      <c r="G13" s="775"/>
    </row>
    <row r="14" spans="1:11">
      <c r="A14" s="637">
        <v>4</v>
      </c>
      <c r="B14" s="638" t="s">
        <v>582</v>
      </c>
      <c r="C14" s="775"/>
      <c r="D14" s="775"/>
      <c r="E14" s="775"/>
      <c r="F14" s="775"/>
      <c r="G14" s="775"/>
    </row>
    <row r="15" spans="1:11" ht="33">
      <c r="A15" s="637">
        <v>5</v>
      </c>
      <c r="B15" s="638" t="s">
        <v>583</v>
      </c>
      <c r="C15" s="775" t="e">
        <f>'Biểu 47'!#REF!</f>
        <v>#REF!</v>
      </c>
      <c r="D15" s="775" t="e">
        <f>'Biểu 47'!#REF!</f>
        <v>#REF!</v>
      </c>
      <c r="E15" s="775">
        <f>'Biểu 47'!C18</f>
        <v>3845325</v>
      </c>
      <c r="F15" s="775">
        <f>2355500</f>
        <v>2355500</v>
      </c>
      <c r="G15" s="775">
        <f>1255500</f>
        <v>1255500</v>
      </c>
      <c r="K15" s="621">
        <f>E15-F15</f>
        <v>1489825</v>
      </c>
    </row>
    <row r="16" spans="1:11">
      <c r="A16" s="634" t="s">
        <v>18</v>
      </c>
      <c r="B16" s="635" t="s">
        <v>632</v>
      </c>
      <c r="C16" s="776" t="e">
        <f>C17+C18+C21</f>
        <v>#REF!</v>
      </c>
      <c r="D16" s="776" t="e">
        <f t="shared" ref="D16:G16" si="4">D17+D18+D21</f>
        <v>#REF!</v>
      </c>
      <c r="E16" s="776">
        <f>E17+E18+E21</f>
        <v>16647640</v>
      </c>
      <c r="F16" s="776">
        <f t="shared" si="4"/>
        <v>17090943</v>
      </c>
      <c r="G16" s="776">
        <f t="shared" si="4"/>
        <v>18091295</v>
      </c>
      <c r="J16" s="621">
        <f>G16-'Bieu 10'!G7</f>
        <v>0</v>
      </c>
    </row>
    <row r="17" spans="1:12">
      <c r="A17" s="637">
        <v>1</v>
      </c>
      <c r="B17" s="638" t="s">
        <v>654</v>
      </c>
      <c r="C17" s="775" t="e">
        <f>'Biểu 47'!#REF!</f>
        <v>#REF!</v>
      </c>
      <c r="D17" s="775" t="e">
        <f>'Biểu 47'!#REF!</f>
        <v>#REF!</v>
      </c>
      <c r="E17" s="775">
        <f>'Biểu 47'!C20</f>
        <v>11496917</v>
      </c>
      <c r="F17" s="775">
        <f>11685209+'Bieu 10'!L8+600000-331013-6019+998-490904+4499-23766</f>
        <v>11892723</v>
      </c>
      <c r="G17" s="775">
        <f>12369113+'Bieu 10'!M8+500000+78640-6621-499704+4589-24241</f>
        <v>12844628</v>
      </c>
      <c r="I17" s="621">
        <f>F8-F16</f>
        <v>-453719</v>
      </c>
      <c r="J17" s="621">
        <f>G8-G16</f>
        <v>-422852</v>
      </c>
    </row>
    <row r="18" spans="1:12">
      <c r="A18" s="637">
        <v>2</v>
      </c>
      <c r="B18" s="638" t="s">
        <v>633</v>
      </c>
      <c r="C18" s="775" t="e">
        <f>C19+C20</f>
        <v>#REF!</v>
      </c>
      <c r="D18" s="775" t="e">
        <f t="shared" ref="D18:G18" si="5">D19+D20</f>
        <v>#REF!</v>
      </c>
      <c r="E18" s="775">
        <f t="shared" si="5"/>
        <v>5150723</v>
      </c>
      <c r="F18" s="775">
        <f t="shared" si="5"/>
        <v>5198220</v>
      </c>
      <c r="G18" s="775">
        <f t="shared" si="5"/>
        <v>5246667</v>
      </c>
    </row>
    <row r="19" spans="1:12">
      <c r="A19" s="637" t="s">
        <v>257</v>
      </c>
      <c r="B19" s="638" t="s">
        <v>634</v>
      </c>
      <c r="C19" s="775" t="e">
        <f>'Biểu 47'!#REF!</f>
        <v>#REF!</v>
      </c>
      <c r="D19" s="775" t="e">
        <f>'Biểu 47'!#REF!</f>
        <v>#REF!</v>
      </c>
      <c r="E19" s="775">
        <f>'Biểu 47'!C22</f>
        <v>2775849</v>
      </c>
      <c r="F19" s="775">
        <f>E19</f>
        <v>2775849</v>
      </c>
      <c r="G19" s="775">
        <f>F19</f>
        <v>2775849</v>
      </c>
    </row>
    <row r="20" spans="1:12">
      <c r="A20" s="637" t="s">
        <v>257</v>
      </c>
      <c r="B20" s="638" t="s">
        <v>635</v>
      </c>
      <c r="C20" s="775" t="e">
        <f>'Biểu 47'!#REF!</f>
        <v>#REF!</v>
      </c>
      <c r="D20" s="775" t="e">
        <f>'Biểu 47'!#REF!</f>
        <v>#REF!</v>
      </c>
      <c r="E20" s="775">
        <f>'Biểu 47'!C23</f>
        <v>2374874</v>
      </c>
      <c r="F20" s="775">
        <f>ROUND(E20*1.02,0)</f>
        <v>2422371</v>
      </c>
      <c r="G20" s="775">
        <f>ROUND(F20*1.02,0)</f>
        <v>2470818</v>
      </c>
    </row>
    <row r="21" spans="1:12">
      <c r="A21" s="637">
        <v>3</v>
      </c>
      <c r="B21" s="638" t="s">
        <v>587</v>
      </c>
      <c r="C21" s="775" t="e">
        <f>'Biểu 47'!#REF!</f>
        <v>#REF!</v>
      </c>
      <c r="D21" s="775" t="e">
        <f>'Biểu 47'!#REF!</f>
        <v>#REF!</v>
      </c>
      <c r="E21" s="775">
        <f>'Biểu 47'!C24</f>
        <v>0</v>
      </c>
      <c r="F21" s="775"/>
      <c r="G21" s="775"/>
    </row>
    <row r="22" spans="1:12">
      <c r="A22" s="634" t="s">
        <v>196</v>
      </c>
      <c r="B22" s="635" t="s">
        <v>702</v>
      </c>
      <c r="C22" s="776" t="e">
        <f>C16-C8</f>
        <v>#REF!</v>
      </c>
      <c r="D22" s="776" t="e">
        <f>D16-D8</f>
        <v>#REF!</v>
      </c>
      <c r="E22" s="776">
        <f>E16-E8+1</f>
        <v>76300</v>
      </c>
      <c r="F22" s="776">
        <f>F16-F8</f>
        <v>453719</v>
      </c>
      <c r="G22" s="776">
        <f>G16-G8</f>
        <v>422852</v>
      </c>
      <c r="I22" s="580">
        <v>459738</v>
      </c>
      <c r="J22" s="580">
        <v>429473</v>
      </c>
      <c r="K22" s="713">
        <v>453719</v>
      </c>
      <c r="L22" s="713">
        <v>422852</v>
      </c>
    </row>
    <row r="23" spans="1:12">
      <c r="A23" s="634" t="s">
        <v>13</v>
      </c>
      <c r="B23" s="635" t="s">
        <v>650</v>
      </c>
      <c r="C23" s="775"/>
      <c r="D23" s="775"/>
      <c r="E23" s="775"/>
      <c r="F23" s="775"/>
      <c r="G23" s="775"/>
      <c r="I23" s="621">
        <f>I22-F22</f>
        <v>6019</v>
      </c>
      <c r="J23" s="621">
        <f>J22-G22</f>
        <v>6621</v>
      </c>
      <c r="K23" s="621">
        <f>F22-K22</f>
        <v>0</v>
      </c>
      <c r="L23" s="621">
        <f>G22-L22</f>
        <v>0</v>
      </c>
    </row>
    <row r="24" spans="1:12">
      <c r="A24" s="634" t="s">
        <v>17</v>
      </c>
      <c r="B24" s="635" t="s">
        <v>701</v>
      </c>
      <c r="C24" s="776" t="e">
        <f>C25+C26+C29+C30</f>
        <v>#REF!</v>
      </c>
      <c r="D24" s="776" t="e">
        <f t="shared" ref="D24:G24" si="6">D25+D26+D29+D30</f>
        <v>#REF!</v>
      </c>
      <c r="E24" s="776">
        <f>E25+E26+E29+E30</f>
        <v>8570953</v>
      </c>
      <c r="F24" s="776">
        <f t="shared" si="6"/>
        <v>9379645</v>
      </c>
      <c r="G24" s="776">
        <f t="shared" si="6"/>
        <v>9935929</v>
      </c>
    </row>
    <row r="25" spans="1:12">
      <c r="A25" s="637">
        <v>1</v>
      </c>
      <c r="B25" s="638" t="s">
        <v>630</v>
      </c>
      <c r="C25" s="775" t="e">
        <f>'Biểu 47'!#REF!</f>
        <v>#REF!</v>
      </c>
      <c r="D25" s="775" t="e">
        <f>'Biểu 47'!#REF!</f>
        <v>#REF!</v>
      </c>
      <c r="E25" s="775">
        <f>'Biểu 47'!C28</f>
        <v>3420230</v>
      </c>
      <c r="F25" s="775">
        <v>4181425</v>
      </c>
      <c r="G25" s="775">
        <v>4689262</v>
      </c>
    </row>
    <row r="26" spans="1:12">
      <c r="A26" s="637">
        <v>2</v>
      </c>
      <c r="B26" s="638" t="s">
        <v>631</v>
      </c>
      <c r="C26" s="775" t="e">
        <f>C27+C28</f>
        <v>#REF!</v>
      </c>
      <c r="D26" s="775" t="e">
        <f t="shared" ref="D26:G26" si="7">D27+D28</f>
        <v>#REF!</v>
      </c>
      <c r="E26" s="775">
        <f t="shared" si="7"/>
        <v>5150723</v>
      </c>
      <c r="F26" s="775">
        <f t="shared" si="7"/>
        <v>5198220</v>
      </c>
      <c r="G26" s="775">
        <f t="shared" si="7"/>
        <v>5246667</v>
      </c>
    </row>
    <row r="27" spans="1:12">
      <c r="A27" s="637" t="s">
        <v>257</v>
      </c>
      <c r="B27" s="638" t="s">
        <v>579</v>
      </c>
      <c r="C27" s="775" t="e">
        <f>C19</f>
        <v>#REF!</v>
      </c>
      <c r="D27" s="775" t="e">
        <f t="shared" ref="D27:G27" si="8">D19</f>
        <v>#REF!</v>
      </c>
      <c r="E27" s="775">
        <f t="shared" si="8"/>
        <v>2775849</v>
      </c>
      <c r="F27" s="775">
        <f t="shared" si="8"/>
        <v>2775849</v>
      </c>
      <c r="G27" s="775">
        <f t="shared" si="8"/>
        <v>2775849</v>
      </c>
    </row>
    <row r="28" spans="1:12">
      <c r="A28" s="637" t="s">
        <v>257</v>
      </c>
      <c r="B28" s="638" t="s">
        <v>580</v>
      </c>
      <c r="C28" s="775" t="e">
        <f>C20</f>
        <v>#REF!</v>
      </c>
      <c r="D28" s="775" t="e">
        <f t="shared" ref="D28:G28" si="9">D20</f>
        <v>#REF!</v>
      </c>
      <c r="E28" s="775">
        <f t="shared" si="9"/>
        <v>2374874</v>
      </c>
      <c r="F28" s="775">
        <f t="shared" si="9"/>
        <v>2422371</v>
      </c>
      <c r="G28" s="775">
        <f t="shared" si="9"/>
        <v>2470818</v>
      </c>
    </row>
    <row r="29" spans="1:12">
      <c r="A29" s="637">
        <v>3</v>
      </c>
      <c r="B29" s="638" t="s">
        <v>582</v>
      </c>
      <c r="C29" s="775"/>
      <c r="D29" s="775"/>
      <c r="E29" s="775"/>
      <c r="F29" s="775"/>
      <c r="G29" s="775"/>
    </row>
    <row r="30" spans="1:12" ht="33">
      <c r="A30" s="637">
        <v>4</v>
      </c>
      <c r="B30" s="638" t="s">
        <v>583</v>
      </c>
      <c r="C30" s="775" t="e">
        <f>'Biểu 47'!#REF!</f>
        <v>#REF!</v>
      </c>
      <c r="D30" s="775" t="e">
        <f>'Biểu 47'!#REF!</f>
        <v>#REF!</v>
      </c>
      <c r="E30" s="775">
        <f>'Biểu 47'!C34</f>
        <v>0</v>
      </c>
      <c r="F30" s="775">
        <v>0</v>
      </c>
      <c r="G30" s="775">
        <v>0</v>
      </c>
    </row>
    <row r="31" spans="1:12" ht="17.25" thickBot="1">
      <c r="A31" s="753" t="s">
        <v>18</v>
      </c>
      <c r="B31" s="791" t="s">
        <v>632</v>
      </c>
      <c r="C31" s="792" t="e">
        <f>C24</f>
        <v>#REF!</v>
      </c>
      <c r="D31" s="792" t="e">
        <f t="shared" ref="D31:G31" si="10">D24</f>
        <v>#REF!</v>
      </c>
      <c r="E31" s="792">
        <f>E24</f>
        <v>8570953</v>
      </c>
      <c r="F31" s="792">
        <f>F24</f>
        <v>9379645</v>
      </c>
      <c r="G31" s="792">
        <f t="shared" si="10"/>
        <v>9935929</v>
      </c>
    </row>
    <row r="32" spans="1:12" ht="17.25" hidden="1" thickBot="1">
      <c r="A32" s="787">
        <v>1</v>
      </c>
      <c r="B32" s="788" t="s">
        <v>703</v>
      </c>
      <c r="C32" s="789"/>
      <c r="D32" s="789"/>
      <c r="E32" s="789"/>
      <c r="F32" s="789"/>
      <c r="G32" s="789"/>
    </row>
    <row r="33" spans="1:7" hidden="1">
      <c r="A33" s="604">
        <v>2</v>
      </c>
      <c r="B33" s="605" t="s">
        <v>633</v>
      </c>
      <c r="C33" s="697"/>
      <c r="D33" s="697"/>
      <c r="E33" s="697"/>
      <c r="F33" s="697"/>
      <c r="G33" s="697"/>
    </row>
    <row r="34" spans="1:7" hidden="1">
      <c r="A34" s="604" t="s">
        <v>257</v>
      </c>
      <c r="B34" s="605" t="s">
        <v>634</v>
      </c>
      <c r="C34" s="697"/>
      <c r="D34" s="697"/>
      <c r="E34" s="697"/>
      <c r="F34" s="697"/>
      <c r="G34" s="697"/>
    </row>
    <row r="35" spans="1:7" hidden="1">
      <c r="A35" s="604" t="s">
        <v>257</v>
      </c>
      <c r="B35" s="605" t="s">
        <v>635</v>
      </c>
      <c r="C35" s="697"/>
      <c r="D35" s="697"/>
      <c r="E35" s="697"/>
      <c r="F35" s="697"/>
      <c r="G35" s="697"/>
    </row>
    <row r="36" spans="1:7" ht="17.25" hidden="1" thickBot="1">
      <c r="A36" s="606">
        <v>3</v>
      </c>
      <c r="B36" s="611" t="s">
        <v>587</v>
      </c>
      <c r="C36" s="606"/>
      <c r="D36" s="606"/>
      <c r="E36" s="606"/>
      <c r="F36" s="606"/>
      <c r="G36" s="606"/>
    </row>
    <row r="37" spans="1:7" ht="38.25" customHeight="1">
      <c r="A37" s="1084"/>
      <c r="B37" s="1084"/>
      <c r="C37" s="1084"/>
      <c r="D37" s="1084"/>
      <c r="E37" s="1084"/>
      <c r="F37" s="1084"/>
      <c r="G37" s="1084"/>
    </row>
    <row r="38" spans="1:7">
      <c r="E38" s="803">
        <f>E17+E31</f>
        <v>20067870</v>
      </c>
      <c r="F38" s="803">
        <f>F17+F31</f>
        <v>21272368</v>
      </c>
      <c r="G38" s="803">
        <f t="shared" ref="G38" si="11">G17+G31</f>
        <v>22780557</v>
      </c>
    </row>
    <row r="39" spans="1:7">
      <c r="D39" s="580" t="s">
        <v>769</v>
      </c>
      <c r="E39" s="742">
        <f>E9+E10+E15+E25</f>
        <v>19991571</v>
      </c>
      <c r="F39" s="742">
        <f>F9+F12+F15+F25</f>
        <v>20818649</v>
      </c>
      <c r="G39" s="742">
        <f>G9+G12+G15+G25</f>
        <v>22357705</v>
      </c>
    </row>
    <row r="40" spans="1:7">
      <c r="D40" s="580" t="s">
        <v>768</v>
      </c>
      <c r="E40" s="580">
        <f>20067870</f>
        <v>20067870</v>
      </c>
      <c r="F40" s="739">
        <f>F17+F31</f>
        <v>21272368</v>
      </c>
      <c r="G40" s="739">
        <f>G17+G31</f>
        <v>22780557</v>
      </c>
    </row>
    <row r="41" spans="1:7">
      <c r="D41" s="580" t="s">
        <v>770</v>
      </c>
      <c r="E41" s="621">
        <f>E40-E39</f>
        <v>76299</v>
      </c>
      <c r="F41" s="735">
        <f>F40-F39</f>
        <v>453719</v>
      </c>
      <c r="G41" s="735">
        <f>G40-G39</f>
        <v>422852</v>
      </c>
    </row>
    <row r="42" spans="1:7">
      <c r="E42" s="621"/>
      <c r="F42" s="621">
        <f>K22-F41</f>
        <v>0</v>
      </c>
      <c r="G42" s="621">
        <f>L22-G41</f>
        <v>0</v>
      </c>
    </row>
    <row r="49" ht="23.25" customHeight="1"/>
    <row r="51" ht="21" customHeight="1"/>
    <row r="52" ht="21" customHeight="1"/>
    <row r="73" ht="16.5" hidden="1" customHeight="1"/>
    <row r="83" ht="66.75" customHeight="1"/>
    <row r="95" ht="16.5" hidden="1" customHeight="1"/>
    <row r="115" ht="16.5" hidden="1" customHeight="1"/>
    <row r="124" ht="16.5" hidden="1" customHeight="1"/>
    <row r="133" ht="16.5" hidden="1" customHeight="1"/>
    <row r="144" ht="33.75" customHeight="1"/>
    <row r="145" ht="33.75" customHeight="1"/>
    <row r="146" ht="33.75" customHeight="1"/>
    <row r="155" ht="16.5" hidden="1" customHeight="1"/>
    <row r="188" ht="16.5" hidden="1" customHeight="1"/>
    <row r="192" ht="18" customHeight="1"/>
    <row r="193" ht="18" customHeight="1"/>
    <row r="194" ht="18" customHeight="1"/>
    <row r="198" ht="16.5" hidden="1" customHeight="1"/>
    <row r="199" ht="18" customHeight="1"/>
    <row r="200" ht="18" customHeight="1"/>
    <row r="217" ht="16.5" hidden="1" customHeight="1"/>
    <row r="220" ht="19.5" customHeight="1"/>
    <row r="221" ht="19.5" customHeight="1"/>
    <row r="222" ht="19.5" customHeight="1"/>
    <row r="223" ht="19.5" customHeight="1"/>
    <row r="224" ht="19.5" customHeight="1"/>
    <row r="225" ht="19.5" customHeight="1"/>
    <row r="226" ht="19.5" customHeight="1"/>
    <row r="227" ht="19.5" hidden="1" customHeight="1"/>
    <row r="228" ht="19.5" customHeight="1"/>
    <row r="229" ht="19.5" customHeight="1"/>
    <row r="230" ht="24.75" customHeight="1"/>
  </sheetData>
  <mergeCells count="5">
    <mergeCell ref="A4:G4"/>
    <mergeCell ref="A37:G37"/>
    <mergeCell ref="A1:G1"/>
    <mergeCell ref="A2:G2"/>
    <mergeCell ref="A3:G3"/>
  </mergeCells>
  <pageMargins left="0.31496062992125984" right="0" top="0.74803149606299213" bottom="0.55118110236220474" header="0.31496062992125984" footer="0.31496062992125984"/>
  <pageSetup paperSize="9" scale="90" orientation="portrait" verticalDpi="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2"/>
  <sheetViews>
    <sheetView workbookViewId="0">
      <pane xSplit="2" ySplit="5" topLeftCell="C24"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39.5703125" style="580" customWidth="1"/>
    <col min="3" max="3" width="12.7109375" style="741" customWidth="1"/>
    <col min="4" max="4" width="11.5703125" style="580" customWidth="1"/>
    <col min="5" max="5" width="10.85546875" style="580" customWidth="1"/>
    <col min="6" max="6" width="11.85546875" style="580" customWidth="1"/>
    <col min="7" max="7" width="12" style="580" customWidth="1"/>
    <col min="8" max="8" width="9.140625" style="580"/>
    <col min="9" max="9" width="17.140625" style="580" customWidth="1"/>
    <col min="10" max="10" width="14.5703125" style="580" bestFit="1" customWidth="1"/>
    <col min="11" max="11" width="18" style="580" customWidth="1"/>
    <col min="12" max="12" width="13.7109375" style="580" bestFit="1" customWidth="1"/>
    <col min="13" max="13" width="11.28515625" style="580" bestFit="1" customWidth="1"/>
    <col min="14" max="16384" width="9.140625" style="580"/>
  </cols>
  <sheetData>
    <row r="1" spans="1:14" ht="27" customHeight="1">
      <c r="A1" s="1015" t="s">
        <v>871</v>
      </c>
      <c r="B1" s="1015"/>
      <c r="C1" s="1015"/>
      <c r="D1" s="1015"/>
      <c r="E1" s="1015"/>
      <c r="F1" s="1015"/>
      <c r="G1" s="1015"/>
    </row>
    <row r="2" spans="1:14" ht="22.5" customHeight="1">
      <c r="A2" s="1026" t="s">
        <v>705</v>
      </c>
      <c r="B2" s="1026"/>
      <c r="C2" s="1026"/>
      <c r="D2" s="1026"/>
      <c r="E2" s="1026"/>
      <c r="F2" s="1026"/>
      <c r="G2" s="1026"/>
    </row>
    <row r="3" spans="1:14">
      <c r="A3" s="1085" t="s">
        <v>879</v>
      </c>
      <c r="B3" s="1085"/>
      <c r="C3" s="1085"/>
      <c r="D3" s="1085"/>
      <c r="E3" s="1085"/>
      <c r="F3" s="1085"/>
      <c r="G3" s="1085"/>
      <c r="J3" s="621">
        <f>D7+419432</f>
        <v>17067072</v>
      </c>
    </row>
    <row r="4" spans="1:14" ht="16.5" customHeight="1">
      <c r="A4" s="1012" t="s">
        <v>199</v>
      </c>
      <c r="B4" s="1012"/>
      <c r="C4" s="1012"/>
      <c r="D4" s="1012"/>
      <c r="E4" s="1012"/>
      <c r="F4" s="1012"/>
      <c r="G4" s="1012"/>
      <c r="I4" s="621">
        <f>F7+419432</f>
        <v>17510375</v>
      </c>
      <c r="J4" s="621">
        <f>G7+419432</f>
        <v>18510727</v>
      </c>
    </row>
    <row r="5" spans="1:14" ht="75" customHeight="1">
      <c r="A5" s="751" t="s">
        <v>11</v>
      </c>
      <c r="B5" s="751" t="s">
        <v>289</v>
      </c>
      <c r="C5" s="802" t="s">
        <v>400</v>
      </c>
      <c r="D5" s="751" t="s">
        <v>697</v>
      </c>
      <c r="E5" s="751" t="s">
        <v>371</v>
      </c>
      <c r="F5" s="751" t="s">
        <v>698</v>
      </c>
      <c r="G5" s="751" t="s">
        <v>699</v>
      </c>
      <c r="I5" s="580">
        <v>2019</v>
      </c>
      <c r="J5" s="580">
        <v>2020</v>
      </c>
      <c r="M5" s="621">
        <f>G13-F13</f>
        <v>523687</v>
      </c>
    </row>
    <row r="6" spans="1:14" ht="20.25" customHeight="1">
      <c r="A6" s="751" t="s">
        <v>12</v>
      </c>
      <c r="B6" s="751" t="s">
        <v>13</v>
      </c>
      <c r="C6" s="802">
        <v>1</v>
      </c>
      <c r="D6" s="751">
        <v>2</v>
      </c>
      <c r="E6" s="751" t="s">
        <v>706</v>
      </c>
      <c r="F6" s="751">
        <v>4</v>
      </c>
      <c r="G6" s="751">
        <v>5</v>
      </c>
      <c r="I6" s="669">
        <f>'Bieu 9'!F17-419432</f>
        <v>11473291</v>
      </c>
      <c r="J6" s="669">
        <f>'Bieu 9'!G17-419432</f>
        <v>12425196</v>
      </c>
    </row>
    <row r="7" spans="1:14" ht="27.75" customHeight="1">
      <c r="A7" s="631"/>
      <c r="B7" s="632" t="s">
        <v>707</v>
      </c>
      <c r="C7" s="805">
        <f>C8+C11</f>
        <v>16024685</v>
      </c>
      <c r="D7" s="633">
        <f>D8+D11</f>
        <v>16647640</v>
      </c>
      <c r="E7" s="806">
        <f t="shared" ref="E7:E13" si="0">D7/C7</f>
        <v>1.038874711109766</v>
      </c>
      <c r="F7" s="633">
        <f>F8+F11</f>
        <v>17090943</v>
      </c>
      <c r="G7" s="633">
        <f>G8+G11</f>
        <v>18091295</v>
      </c>
      <c r="I7" s="621">
        <f>I6-F11</f>
        <v>-419432</v>
      </c>
      <c r="J7" s="621">
        <f>J6-G11</f>
        <v>-419432</v>
      </c>
      <c r="K7" s="621">
        <f>G7-'Bieu 9'!G8</f>
        <v>422852</v>
      </c>
      <c r="L7" s="580">
        <v>2019</v>
      </c>
      <c r="M7" s="580">
        <v>2020</v>
      </c>
    </row>
    <row r="8" spans="1:14" ht="33.75" customHeight="1">
      <c r="A8" s="634" t="s">
        <v>12</v>
      </c>
      <c r="B8" s="635" t="s">
        <v>708</v>
      </c>
      <c r="C8" s="794">
        <f>C9+C10</f>
        <v>4673226</v>
      </c>
      <c r="D8" s="769">
        <f t="shared" ref="D8:G8" si="1">D9+D10</f>
        <v>5150723</v>
      </c>
      <c r="E8" s="795">
        <f t="shared" si="0"/>
        <v>1.1021771684057222</v>
      </c>
      <c r="F8" s="769">
        <f t="shared" si="1"/>
        <v>5198220</v>
      </c>
      <c r="G8" s="769">
        <f t="shared" si="1"/>
        <v>5246667</v>
      </c>
      <c r="K8" s="580" t="s">
        <v>722</v>
      </c>
      <c r="L8" s="713">
        <f>509793-7324-48750</f>
        <v>453719</v>
      </c>
      <c r="M8" s="713">
        <f>430176-7324</f>
        <v>422852</v>
      </c>
    </row>
    <row r="9" spans="1:14" ht="32.25" customHeight="1">
      <c r="A9" s="634" t="s">
        <v>17</v>
      </c>
      <c r="B9" s="635" t="s">
        <v>634</v>
      </c>
      <c r="C9" s="796">
        <v>2775849</v>
      </c>
      <c r="D9" s="639">
        <f>C9</f>
        <v>2775849</v>
      </c>
      <c r="E9" s="797">
        <f t="shared" si="0"/>
        <v>1</v>
      </c>
      <c r="F9" s="639">
        <f>D9</f>
        <v>2775849</v>
      </c>
      <c r="G9" s="639">
        <f>D9</f>
        <v>2775849</v>
      </c>
      <c r="K9" s="580" t="s">
        <v>723</v>
      </c>
      <c r="L9" s="580">
        <v>509793</v>
      </c>
      <c r="M9" s="580">
        <v>430176</v>
      </c>
    </row>
    <row r="10" spans="1:14" ht="18.75" customHeight="1">
      <c r="A10" s="634" t="s">
        <v>18</v>
      </c>
      <c r="B10" s="635" t="s">
        <v>635</v>
      </c>
      <c r="C10" s="796">
        <v>1897377</v>
      </c>
      <c r="D10" s="639">
        <f>'Bieu 9'!E20</f>
        <v>2374874</v>
      </c>
      <c r="E10" s="797">
        <f t="shared" si="0"/>
        <v>1.2516616360375403</v>
      </c>
      <c r="F10" s="639">
        <f>'Bieu 9'!F20</f>
        <v>2422371</v>
      </c>
      <c r="G10" s="639">
        <f>'Bieu 9'!G20</f>
        <v>2470818</v>
      </c>
    </row>
    <row r="11" spans="1:14" ht="33">
      <c r="A11" s="634" t="s">
        <v>13</v>
      </c>
      <c r="B11" s="635" t="s">
        <v>649</v>
      </c>
      <c r="C11" s="798">
        <f>C12+C19+C23+C24</f>
        <v>11351459</v>
      </c>
      <c r="D11" s="798">
        <f>D12+D19+D23+D24</f>
        <v>11496917</v>
      </c>
      <c r="E11" s="795">
        <f t="shared" si="0"/>
        <v>1.0128140356230859</v>
      </c>
      <c r="F11" s="798">
        <f>F12+F19+F23+F24</f>
        <v>11892723</v>
      </c>
      <c r="G11" s="798">
        <f>G12+G19+G23+G24</f>
        <v>12844628</v>
      </c>
      <c r="I11" s="669" t="e">
        <f>'Bieu 9'!C17</f>
        <v>#REF!</v>
      </c>
      <c r="J11" s="621" t="e">
        <f>I11-C11</f>
        <v>#REF!</v>
      </c>
      <c r="K11" s="714">
        <f>164458+406081+1450+331354+120000</f>
        <v>1023343</v>
      </c>
    </row>
    <row r="12" spans="1:14" ht="16.5" customHeight="1">
      <c r="A12" s="634" t="s">
        <v>17</v>
      </c>
      <c r="B12" s="635" t="s">
        <v>780</v>
      </c>
      <c r="C12" s="798">
        <f>C13+C17+C18</f>
        <v>3092946</v>
      </c>
      <c r="D12" s="636">
        <f>D13+D17+D18</f>
        <v>3194881</v>
      </c>
      <c r="E12" s="795">
        <f t="shared" si="0"/>
        <v>1.032957251759326</v>
      </c>
      <c r="F12" s="636">
        <f>F13+F17+F18</f>
        <v>3660835</v>
      </c>
      <c r="G12" s="636">
        <f t="shared" ref="G12" si="2">G13+G17+G18</f>
        <v>4184522</v>
      </c>
      <c r="I12" s="621">
        <f>C12+164458-50000+12000</f>
        <v>3219404</v>
      </c>
      <c r="J12" s="621">
        <f>G13-F13</f>
        <v>523687</v>
      </c>
      <c r="K12" s="621" t="e">
        <f>K11-J11</f>
        <v>#REF!</v>
      </c>
    </row>
    <row r="13" spans="1:14" ht="20.25" customHeight="1">
      <c r="A13" s="637">
        <v>1</v>
      </c>
      <c r="B13" s="638" t="s">
        <v>543</v>
      </c>
      <c r="C13" s="796">
        <f>3219404-164458+50000-12000-C18</f>
        <v>3027946</v>
      </c>
      <c r="D13" s="639">
        <f>'Biểu 49'!D11+D15+D16-D18</f>
        <v>3114881</v>
      </c>
      <c r="E13" s="797">
        <f t="shared" si="0"/>
        <v>1.0287108818981581</v>
      </c>
      <c r="F13" s="639">
        <f>M14+K17+K18+K21+F15+F16+L8</f>
        <v>3580835</v>
      </c>
      <c r="G13" s="639">
        <f>M14+L17+L18+K21+L21+G15+G16+M8</f>
        <v>4104522</v>
      </c>
      <c r="M13" s="580" t="s">
        <v>720</v>
      </c>
      <c r="N13" s="580" t="s">
        <v>721</v>
      </c>
    </row>
    <row r="14" spans="1:14" ht="20.25" customHeight="1">
      <c r="A14" s="799"/>
      <c r="B14" s="640" t="s">
        <v>161</v>
      </c>
      <c r="C14" s="796"/>
      <c r="D14" s="639"/>
      <c r="E14" s="639"/>
      <c r="F14" s="639"/>
      <c r="G14" s="639"/>
      <c r="I14" s="621">
        <f>C11+164458+1450+406081</f>
        <v>11923448</v>
      </c>
      <c r="K14" s="580" t="s">
        <v>719</v>
      </c>
      <c r="L14" s="580">
        <f>869860</f>
        <v>869860</v>
      </c>
      <c r="M14" s="669">
        <f>'ngay 27-11'!F11</f>
        <v>218672</v>
      </c>
      <c r="N14" s="669">
        <f>'ngay 27-11'!M11</f>
        <v>651188</v>
      </c>
    </row>
    <row r="15" spans="1:14" ht="33">
      <c r="A15" s="799" t="s">
        <v>257</v>
      </c>
      <c r="B15" s="640" t="s">
        <v>554</v>
      </c>
      <c r="C15" s="796">
        <f>'Bieu 17'!C52+'Bieu 17'!C55</f>
        <v>393751</v>
      </c>
      <c r="D15" s="639">
        <f>'Bieu 17'!D52+'Bieu 17'!D55</f>
        <v>369954</v>
      </c>
      <c r="E15" s="797">
        <f>D15/C15</f>
        <v>0.93956332809313503</v>
      </c>
      <c r="F15" s="639">
        <f>ROUND(D15*1.1,0)</f>
        <v>406949</v>
      </c>
      <c r="G15" s="639">
        <f>ROUND(F15*1.1,0)</f>
        <v>447644</v>
      </c>
      <c r="I15" s="621">
        <f>I14-11511975</f>
        <v>411473</v>
      </c>
      <c r="M15" s="580">
        <v>2019</v>
      </c>
      <c r="N15" s="580">
        <v>2020</v>
      </c>
    </row>
    <row r="16" spans="1:14" ht="33">
      <c r="A16" s="799" t="s">
        <v>257</v>
      </c>
      <c r="B16" s="640" t="s">
        <v>586</v>
      </c>
      <c r="C16" s="796">
        <f>'Bieu 17'!C58</f>
        <v>894113</v>
      </c>
      <c r="D16" s="639">
        <f>'Biểu 49'!D56</f>
        <v>1717667</v>
      </c>
      <c r="E16" s="797">
        <f>D16/C16</f>
        <v>1.9210849187966175</v>
      </c>
      <c r="F16" s="639">
        <f>ROUND(D16*1.1,0)</f>
        <v>1889434</v>
      </c>
      <c r="G16" s="639">
        <f>ROUND(F16*1.1,0)</f>
        <v>2078377</v>
      </c>
      <c r="J16" s="621"/>
      <c r="K16" s="709">
        <v>2019</v>
      </c>
      <c r="L16" s="709">
        <v>2020</v>
      </c>
      <c r="M16" s="708"/>
    </row>
    <row r="17" spans="1:13" ht="99">
      <c r="A17" s="637">
        <v>2</v>
      </c>
      <c r="B17" s="638" t="s">
        <v>709</v>
      </c>
      <c r="C17" s="796"/>
      <c r="D17" s="639"/>
      <c r="E17" s="639"/>
      <c r="F17" s="639"/>
      <c r="G17" s="639"/>
      <c r="J17" s="580" t="s">
        <v>713</v>
      </c>
      <c r="K17" s="708">
        <v>300000</v>
      </c>
      <c r="L17" s="708">
        <v>350000</v>
      </c>
      <c r="M17" s="708"/>
    </row>
    <row r="18" spans="1:13">
      <c r="A18" s="637">
        <v>3</v>
      </c>
      <c r="B18" s="638" t="s">
        <v>426</v>
      </c>
      <c r="C18" s="796">
        <f>'Bieu 17'!C24</f>
        <v>65000</v>
      </c>
      <c r="D18" s="639">
        <f>'Bieu 17'!D24</f>
        <v>80000</v>
      </c>
      <c r="E18" s="797">
        <f>D18/C18</f>
        <v>1.2307692307692308</v>
      </c>
      <c r="F18" s="639">
        <f>D18</f>
        <v>80000</v>
      </c>
      <c r="G18" s="639">
        <f>F18</f>
        <v>80000</v>
      </c>
      <c r="J18" s="580" t="s">
        <v>714</v>
      </c>
      <c r="K18" s="708">
        <v>79000</v>
      </c>
      <c r="L18" s="708">
        <v>83000</v>
      </c>
      <c r="M18" s="708"/>
    </row>
    <row r="19" spans="1:13" ht="20.25" customHeight="1">
      <c r="A19" s="634" t="s">
        <v>18</v>
      </c>
      <c r="B19" s="635" t="s">
        <v>710</v>
      </c>
      <c r="C19" s="798">
        <f>4715224+C21+C22+70000+331354-580</f>
        <v>5293040</v>
      </c>
      <c r="D19" s="636">
        <f>'Biểu 49'!$D$27+D21+D22</f>
        <v>5080090</v>
      </c>
      <c r="E19" s="795">
        <f>D19/C19</f>
        <v>0.95976792164805103</v>
      </c>
      <c r="F19" s="636">
        <f>'Biểu 49'!D27+'Bieu 10'!K22+F21+F22-310098-499432+56774-246468+600000-449946-6019-218816-20000+4499-7666+118261</f>
        <v>4671942.5</v>
      </c>
      <c r="G19" s="636">
        <f>F19-F21-F22+G21+G22+L22+61637-271114+500000-600000+268060-602-9798+90-475+11827</f>
        <v>5293353</v>
      </c>
      <c r="I19" s="621">
        <f>C11+1450+406081</f>
        <v>11758990</v>
      </c>
      <c r="J19" s="580" t="s">
        <v>715</v>
      </c>
      <c r="K19" s="708">
        <v>1553739</v>
      </c>
      <c r="L19" s="708">
        <v>1806105</v>
      </c>
      <c r="M19" s="708"/>
    </row>
    <row r="20" spans="1:13" ht="20.25" customHeight="1">
      <c r="A20" s="799"/>
      <c r="B20" s="640" t="s">
        <v>161</v>
      </c>
      <c r="C20" s="796"/>
      <c r="D20" s="639"/>
      <c r="E20" s="639"/>
      <c r="F20" s="639"/>
      <c r="G20" s="639"/>
      <c r="I20" s="621">
        <f>D19-F19</f>
        <v>408147.5</v>
      </c>
      <c r="J20" s="580" t="s">
        <v>716</v>
      </c>
      <c r="K20" s="708">
        <f>K19/2</f>
        <v>776869.5</v>
      </c>
      <c r="L20" s="708">
        <f>L19/2</f>
        <v>903052.5</v>
      </c>
    </row>
    <row r="21" spans="1:13" ht="33.75" customHeight="1">
      <c r="A21" s="799" t="s">
        <v>257</v>
      </c>
      <c r="B21" s="640" t="s">
        <v>554</v>
      </c>
      <c r="C21" s="796">
        <f>'Bieu 17'!C53+'Bieu 17'!C56</f>
        <v>124440</v>
      </c>
      <c r="D21" s="639">
        <f>'Bieu 17'!D53+'Bieu 17'!D56</f>
        <v>102967</v>
      </c>
      <c r="E21" s="797">
        <f>D21/C21</f>
        <v>0.82744294439087107</v>
      </c>
      <c r="F21" s="639">
        <f>ROUND(D21*1.1,0)</f>
        <v>113264</v>
      </c>
      <c r="G21" s="639">
        <f>ROUND(F21*1.1,0)</f>
        <v>124590</v>
      </c>
      <c r="J21" s="580" t="s">
        <v>765</v>
      </c>
      <c r="K21" s="708">
        <f>ROUND(K20*30%,0)</f>
        <v>233061</v>
      </c>
      <c r="L21" s="708">
        <f>ROUND(L20*30%,0)</f>
        <v>270916</v>
      </c>
    </row>
    <row r="22" spans="1:13" ht="33">
      <c r="A22" s="799" t="s">
        <v>257</v>
      </c>
      <c r="B22" s="640" t="s">
        <v>586</v>
      </c>
      <c r="C22" s="796">
        <f>'Bieu 17'!C62</f>
        <v>52602</v>
      </c>
      <c r="D22" s="639">
        <f>'Bieu 17'!D62</f>
        <v>166576</v>
      </c>
      <c r="E22" s="797">
        <f>D22/C22</f>
        <v>3.16672369871868</v>
      </c>
      <c r="F22" s="639">
        <f>ROUND(D22*1.1,0)</f>
        <v>183234</v>
      </c>
      <c r="G22" s="639">
        <f>ROUND(F22*1.1,0)</f>
        <v>201557</v>
      </c>
      <c r="J22" s="580" t="s">
        <v>718</v>
      </c>
      <c r="K22" s="708">
        <f>K20-K21</f>
        <v>543808.5</v>
      </c>
      <c r="L22" s="708">
        <f>L20-L21</f>
        <v>632136.5</v>
      </c>
    </row>
    <row r="23" spans="1:13" ht="33">
      <c r="A23" s="634" t="s">
        <v>196</v>
      </c>
      <c r="B23" s="635" t="s">
        <v>693</v>
      </c>
      <c r="C23" s="798">
        <v>2554000</v>
      </c>
      <c r="D23" s="636">
        <f>'ngay 27-11'!$F$194</f>
        <v>2802514</v>
      </c>
      <c r="E23" s="795">
        <f>D23/C23</f>
        <v>1.097303837118246</v>
      </c>
      <c r="F23" s="636">
        <f>2355500+'Bieu 10'!K20</f>
        <v>3132369.5</v>
      </c>
      <c r="G23" s="636">
        <f>1255500+'Bieu 10'!L20+K20</f>
        <v>2935422</v>
      </c>
      <c r="I23" s="621">
        <f>F23-D23</f>
        <v>329855.5</v>
      </c>
      <c r="K23" s="621"/>
    </row>
    <row r="24" spans="1:13" ht="66">
      <c r="A24" s="753" t="s">
        <v>197</v>
      </c>
      <c r="B24" s="791" t="s">
        <v>782</v>
      </c>
      <c r="C24" s="800">
        <f>1450+406081+3942</f>
        <v>411473</v>
      </c>
      <c r="D24" s="755">
        <v>419432</v>
      </c>
      <c r="E24" s="801"/>
      <c r="F24" s="755">
        <v>427576</v>
      </c>
      <c r="G24" s="755">
        <v>431331</v>
      </c>
      <c r="I24" s="621"/>
      <c r="K24" s="621"/>
    </row>
    <row r="25" spans="1:13" ht="16.5" customHeight="1">
      <c r="A25" s="1086" t="s">
        <v>711</v>
      </c>
      <c r="B25" s="1086"/>
      <c r="C25" s="1086"/>
      <c r="D25" s="1086"/>
      <c r="E25" s="1086"/>
      <c r="F25" s="1086"/>
      <c r="G25" s="1086"/>
    </row>
    <row r="26" spans="1:13" ht="31.5" customHeight="1">
      <c r="A26" s="1087" t="s">
        <v>712</v>
      </c>
      <c r="B26" s="1087"/>
      <c r="C26" s="1087"/>
      <c r="D26" s="1087"/>
      <c r="E26" s="1087"/>
      <c r="F26" s="1087"/>
      <c r="G26" s="1087"/>
    </row>
    <row r="27" spans="1:13">
      <c r="D27" s="739">
        <f>'Bieu 9'!E17</f>
        <v>11496917</v>
      </c>
      <c r="E27" s="739"/>
      <c r="F27" s="739">
        <f>'Bieu 9'!F17</f>
        <v>11892723</v>
      </c>
      <c r="G27" s="739">
        <f>'Bieu 9'!G17</f>
        <v>12844628</v>
      </c>
    </row>
    <row r="28" spans="1:13">
      <c r="D28" s="739">
        <f>'Bieu 9'!E31</f>
        <v>8570953</v>
      </c>
      <c r="E28" s="739"/>
      <c r="F28" s="739">
        <f>'Bieu 9'!F31</f>
        <v>9379645</v>
      </c>
      <c r="G28" s="739">
        <f>'Bieu 9'!G31</f>
        <v>9935929</v>
      </c>
    </row>
    <row r="29" spans="1:13">
      <c r="D29" s="739">
        <f>D27+D28</f>
        <v>20067870</v>
      </c>
      <c r="E29" s="739">
        <f t="shared" ref="E29" si="3">E27+E28</f>
        <v>0</v>
      </c>
      <c r="F29" s="739">
        <f>F27+F28</f>
        <v>21272368</v>
      </c>
      <c r="G29" s="739">
        <f>G27+G28</f>
        <v>22780557</v>
      </c>
    </row>
    <row r="30" spans="1:13" ht="31.5" customHeight="1">
      <c r="D30" s="744">
        <f>D27-D11</f>
        <v>0</v>
      </c>
      <c r="E30" s="744"/>
      <c r="F30" s="744">
        <f>F27-F11</f>
        <v>0</v>
      </c>
      <c r="G30" s="744">
        <f>G27-G11</f>
        <v>0</v>
      </c>
      <c r="J30" s="621">
        <f>G31-G30</f>
        <v>431331</v>
      </c>
    </row>
    <row r="31" spans="1:13" ht="40.5" customHeight="1">
      <c r="B31" s="743" t="s">
        <v>761</v>
      </c>
      <c r="D31" s="739">
        <f>1450+406081+11901</f>
        <v>419432</v>
      </c>
      <c r="E31" s="739"/>
      <c r="F31" s="739">
        <f>1450+406081+20045</f>
        <v>427576</v>
      </c>
      <c r="G31" s="739">
        <f>1450+406081+23800</f>
        <v>431331</v>
      </c>
      <c r="I31" s="580">
        <f>1450+406081+11901</f>
        <v>419432</v>
      </c>
      <c r="K31" s="621">
        <f>F31-F30</f>
        <v>427576</v>
      </c>
      <c r="L31" s="621">
        <f>G31-G30</f>
        <v>431331</v>
      </c>
    </row>
    <row r="32" spans="1:13" ht="20.25" customHeight="1">
      <c r="D32" s="804">
        <f>D31-D30</f>
        <v>419432</v>
      </c>
      <c r="F32" s="621">
        <f>F30-F31</f>
        <v>-427576</v>
      </c>
      <c r="G32" s="745">
        <f>G30-G31</f>
        <v>-431331</v>
      </c>
    </row>
    <row r="33" spans="4:7" ht="20.25" customHeight="1">
      <c r="D33" s="621">
        <f>D29-'Bieu 9'!E39</f>
        <v>76299</v>
      </c>
      <c r="F33" s="621">
        <f>F29-'Bieu 9'!F39</f>
        <v>453719</v>
      </c>
      <c r="G33" s="621">
        <f>G29-'Bieu 9'!G39</f>
        <v>422852</v>
      </c>
    </row>
    <row r="34" spans="4:7" ht="20.25" customHeight="1">
      <c r="F34" s="621">
        <f>F33-L8</f>
        <v>0</v>
      </c>
      <c r="G34" s="621">
        <f>G33-M8</f>
        <v>0</v>
      </c>
    </row>
    <row r="35" spans="4:7" ht="31.5" customHeight="1"/>
    <row r="36" spans="4:7" ht="20.25" customHeight="1"/>
    <row r="37" spans="4:7" ht="20.25" customHeight="1"/>
    <row r="38" spans="4:7" ht="19.5" customHeight="1">
      <c r="D38" s="735">
        <f>D30+D7</f>
        <v>16647640</v>
      </c>
      <c r="E38" s="735"/>
      <c r="F38" s="735">
        <f t="shared" ref="F38:G38" si="4">F30+F7</f>
        <v>17090943</v>
      </c>
      <c r="G38" s="735">
        <f t="shared" si="4"/>
        <v>18091295</v>
      </c>
    </row>
    <row r="39" spans="4:7" ht="16.5" hidden="1" customHeight="1"/>
    <row r="40" spans="4:7" ht="23.25" customHeight="1"/>
    <row r="41" spans="4:7" ht="23.25" hidden="1" customHeight="1"/>
    <row r="42" spans="4:7" ht="23.25" hidden="1" customHeight="1"/>
    <row r="43" spans="4:7" ht="16.5" hidden="1" customHeight="1"/>
    <row r="45" spans="4:7" ht="16.5" hidden="1" customHeight="1"/>
    <row r="48" spans="4:7" ht="21" customHeight="1"/>
    <row r="49" ht="21" hidden="1" customHeight="1"/>
    <row r="50" ht="21" hidden="1" customHeight="1"/>
    <row r="51" ht="16.5" hidden="1" customHeight="1"/>
    <row r="53" ht="16.5" hidden="1" customHeight="1"/>
    <row r="57" ht="21" hidden="1" customHeight="1"/>
    <row r="58" ht="21"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16.5" hidden="1" customHeight="1"/>
    <row r="68" ht="16.5" hidden="1" customHeight="1"/>
    <row r="69" ht="31.5" hidden="1" customHeight="1"/>
    <row r="70" ht="16.5" hidden="1" customHeight="1"/>
    <row r="73" ht="16.5" hidden="1" customHeight="1"/>
    <row r="79" ht="16.5" hidden="1" customHeight="1"/>
    <row r="80" ht="16.5" hidden="1" customHeight="1"/>
    <row r="83" ht="16.5" hidden="1" customHeight="1"/>
    <row r="84" ht="16.5" hidden="1" customHeight="1"/>
    <row r="101" ht="16.5" hidden="1" customHeight="1"/>
    <row r="103" ht="16.5" hidden="1" customHeight="1"/>
    <row r="106" ht="16.5" hidden="1" customHeight="1"/>
    <row r="107" ht="16.5" hidden="1" customHeight="1"/>
    <row r="108" ht="16.5" hidden="1" customHeight="1"/>
    <row r="110" ht="16.5" hidden="1" customHeight="1"/>
    <row r="111" ht="16.5" hidden="1" customHeight="1"/>
    <row r="112" ht="16.5" hidden="1" customHeight="1"/>
    <row r="114" ht="16.5" hidden="1" customHeight="1"/>
    <row r="121" ht="16.5" hidden="1" customHeight="1"/>
    <row r="122" ht="16.5" hidden="1" customHeight="1"/>
    <row r="125" ht="16.5" hidden="1" customHeight="1"/>
    <row r="126" ht="16.5" hidden="1" customHeight="1"/>
    <row r="127" ht="16.5" hidden="1" customHeight="1"/>
    <row r="129" ht="16.5" hidden="1" customHeight="1"/>
    <row r="130" ht="16.5" hidden="1" customHeight="1"/>
    <row r="131" ht="16.5" hidden="1" customHeight="1"/>
    <row r="134" ht="16.5" hidden="1" customHeight="1"/>
    <row r="135" ht="16.5" hidden="1" customHeight="1"/>
    <row r="136" ht="16.5" hidden="1" customHeight="1"/>
    <row r="138" ht="16.5" hidden="1" customHeight="1"/>
    <row r="139" ht="16.5" hidden="1" customHeight="1"/>
    <row r="140"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2"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198" ht="16.5" hidden="1" customHeight="1"/>
    <row r="201" ht="16.5" hidden="1" customHeight="1"/>
    <row r="202" ht="16.5" hidden="1" customHeight="1"/>
    <row r="203" ht="16.5" hidden="1" customHeight="1"/>
    <row r="205"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6" ht="16.5" hidden="1" customHeight="1"/>
    <row r="228" ht="16.5" hidden="1" customHeight="1"/>
    <row r="230" ht="16.5" hidden="1" customHeight="1"/>
    <row r="231" ht="16.5" hidden="1" customHeight="1"/>
    <row r="232" ht="16.5" hidden="1" customHeight="1"/>
    <row r="234" ht="16.5" hidden="1" customHeight="1"/>
    <row r="235" ht="16.5" hidden="1" customHeight="1"/>
    <row r="236"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6">
    <mergeCell ref="A4:G4"/>
    <mergeCell ref="A25:G25"/>
    <mergeCell ref="A26:G26"/>
    <mergeCell ref="A1:G1"/>
    <mergeCell ref="A2:G2"/>
    <mergeCell ref="A3:G3"/>
  </mergeCells>
  <pageMargins left="0.31496062992125984" right="0" top="0.74803149606299213" bottom="0.35433070866141736" header="0.31496062992125984" footer="0.31496062992125984"/>
  <pageSetup paperSize="9" scale="95" orientation="portrait" verticalDpi="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34"/>
  <sheetViews>
    <sheetView topLeftCell="A16" workbookViewId="0">
      <selection activeCell="C4" sqref="C4:J4"/>
    </sheetView>
  </sheetViews>
  <sheetFormatPr defaultColWidth="9.140625" defaultRowHeight="16.5"/>
  <cols>
    <col min="1" max="1" width="5.140625" style="580" customWidth="1"/>
    <col min="2" max="2" width="39.5703125" style="580" customWidth="1"/>
    <col min="3" max="3" width="12.7109375" style="713" hidden="1" customWidth="1"/>
    <col min="4" max="4" width="11.5703125" style="580" customWidth="1"/>
    <col min="5" max="5" width="10.85546875" style="580" hidden="1" customWidth="1"/>
    <col min="6" max="6" width="11.85546875" style="580" customWidth="1"/>
    <col min="7" max="7" width="12" style="580" customWidth="1"/>
    <col min="8" max="8" width="12.42578125" style="714" customWidth="1"/>
    <col min="9" max="9" width="17.140625" style="580" customWidth="1"/>
    <col min="10" max="10" width="14.5703125" style="580" bestFit="1" customWidth="1"/>
    <col min="11" max="11" width="18" style="580" customWidth="1"/>
    <col min="12" max="12" width="13.7109375" style="580" bestFit="1" customWidth="1"/>
    <col min="13" max="16384" width="9.140625" style="580"/>
  </cols>
  <sheetData>
    <row r="1" spans="1:14" ht="28.5" customHeight="1">
      <c r="A1" s="1015" t="s">
        <v>704</v>
      </c>
      <c r="B1" s="1015"/>
      <c r="C1" s="1015"/>
      <c r="D1" s="1015"/>
      <c r="E1" s="1015"/>
      <c r="F1" s="1015"/>
      <c r="G1" s="1015"/>
      <c r="H1" s="1015"/>
    </row>
    <row r="2" spans="1:14" ht="37.5" customHeight="1">
      <c r="A2" s="1088" t="s">
        <v>726</v>
      </c>
      <c r="B2" s="1026"/>
      <c r="C2" s="1026"/>
      <c r="D2" s="1026"/>
      <c r="E2" s="1026"/>
      <c r="F2" s="1026"/>
      <c r="G2" s="1026"/>
      <c r="H2" s="1026"/>
    </row>
    <row r="3" spans="1:14" ht="18.75" customHeight="1">
      <c r="A3" s="1026"/>
      <c r="B3" s="1026"/>
      <c r="C3" s="1026"/>
      <c r="D3" s="1026"/>
      <c r="E3" s="1026"/>
      <c r="F3" s="1026"/>
      <c r="G3" s="1026"/>
      <c r="J3" s="621">
        <f>D7+419432</f>
        <v>17067072</v>
      </c>
    </row>
    <row r="4" spans="1:14" ht="16.5" customHeight="1" thickBot="1">
      <c r="A4" s="1089" t="s">
        <v>199</v>
      </c>
      <c r="B4" s="1089"/>
      <c r="C4" s="1089"/>
      <c r="D4" s="1089"/>
      <c r="E4" s="1089"/>
      <c r="F4" s="1089"/>
      <c r="G4" s="1089"/>
      <c r="H4" s="1089"/>
      <c r="I4" s="621">
        <f>F7+419432</f>
        <v>17510375</v>
      </c>
      <c r="J4" s="621">
        <f>G7+419432</f>
        <v>18079396</v>
      </c>
    </row>
    <row r="5" spans="1:14" ht="65.25" customHeight="1" thickBot="1">
      <c r="A5" s="610" t="s">
        <v>11</v>
      </c>
      <c r="B5" s="690" t="s">
        <v>289</v>
      </c>
      <c r="C5" s="715" t="s">
        <v>400</v>
      </c>
      <c r="D5" s="690" t="s">
        <v>697</v>
      </c>
      <c r="E5" s="690" t="s">
        <v>371</v>
      </c>
      <c r="F5" s="690" t="s">
        <v>698</v>
      </c>
      <c r="G5" s="690" t="s">
        <v>699</v>
      </c>
      <c r="H5" s="726" t="s">
        <v>725</v>
      </c>
      <c r="I5" s="580">
        <v>2019</v>
      </c>
      <c r="J5" s="580">
        <v>2020</v>
      </c>
    </row>
    <row r="6" spans="1:14" ht="16.5" customHeight="1" thickBot="1">
      <c r="A6" s="689" t="s">
        <v>12</v>
      </c>
      <c r="B6" s="581" t="s">
        <v>13</v>
      </c>
      <c r="C6" s="716">
        <v>1</v>
      </c>
      <c r="D6" s="581">
        <v>1</v>
      </c>
      <c r="E6" s="581" t="s">
        <v>706</v>
      </c>
      <c r="F6" s="581">
        <v>2</v>
      </c>
      <c r="G6" s="581">
        <v>3</v>
      </c>
      <c r="H6" s="581" t="s">
        <v>762</v>
      </c>
      <c r="I6" s="669">
        <f>'Bieu 9'!F17-419432</f>
        <v>11473291</v>
      </c>
      <c r="J6" s="669">
        <f>'Bieu 9'!G17-419432</f>
        <v>12425196</v>
      </c>
    </row>
    <row r="7" spans="1:14" ht="30.75" customHeight="1">
      <c r="A7" s="600"/>
      <c r="B7" s="601" t="s">
        <v>707</v>
      </c>
      <c r="C7" s="717">
        <f>C8+C11</f>
        <v>4738226</v>
      </c>
      <c r="D7" s="711">
        <f>D8+D11</f>
        <v>16647640</v>
      </c>
      <c r="E7" s="711">
        <f t="shared" ref="E7" si="0">E8+E11</f>
        <v>0</v>
      </c>
      <c r="F7" s="711">
        <f>F8+F11</f>
        <v>17090943</v>
      </c>
      <c r="G7" s="711">
        <f>G8+G11</f>
        <v>17659964</v>
      </c>
      <c r="H7" s="727">
        <f>D7+F7+G7</f>
        <v>51398547</v>
      </c>
      <c r="I7" s="621">
        <f>I6-F11</f>
        <v>-419432</v>
      </c>
      <c r="J7" s="621">
        <f>J6-G11</f>
        <v>11899</v>
      </c>
      <c r="K7" s="621">
        <f>G7-'Bieu 9'!G8</f>
        <v>-8479</v>
      </c>
      <c r="L7" s="580">
        <v>2019</v>
      </c>
      <c r="M7" s="580">
        <v>2020</v>
      </c>
    </row>
    <row r="8" spans="1:14" ht="33.75" customHeight="1">
      <c r="A8" s="602" t="s">
        <v>12</v>
      </c>
      <c r="B8" s="603" t="s">
        <v>708</v>
      </c>
      <c r="C8" s="718">
        <f>C9+C10</f>
        <v>4673226</v>
      </c>
      <c r="D8" s="710">
        <f t="shared" ref="D8:G8" si="1">D9+D10</f>
        <v>5150723</v>
      </c>
      <c r="E8" s="710"/>
      <c r="F8" s="710">
        <f t="shared" si="1"/>
        <v>5198220</v>
      </c>
      <c r="G8" s="710">
        <f t="shared" si="1"/>
        <v>5246667</v>
      </c>
      <c r="H8" s="728">
        <f t="shared" ref="H8:H24" si="2">D8+F8+G8</f>
        <v>15595610</v>
      </c>
      <c r="I8" s="621">
        <f>'9 sua'!G16-'10 sua'!F7</f>
        <v>0</v>
      </c>
      <c r="J8" s="621">
        <f>'9 sua'!H16-'10 sua'!G7</f>
        <v>431331</v>
      </c>
      <c r="K8" s="580" t="s">
        <v>722</v>
      </c>
      <c r="L8" s="713">
        <f>509793-7324-48750</f>
        <v>453719</v>
      </c>
      <c r="M8" s="713">
        <f>430176-7324</f>
        <v>422852</v>
      </c>
    </row>
    <row r="9" spans="1:14" ht="32.25" customHeight="1">
      <c r="A9" s="602" t="s">
        <v>17</v>
      </c>
      <c r="B9" s="603" t="s">
        <v>634</v>
      </c>
      <c r="C9" s="719">
        <v>2775849</v>
      </c>
      <c r="D9" s="698">
        <f>C9</f>
        <v>2775849</v>
      </c>
      <c r="E9" s="707">
        <f>D9/C9</f>
        <v>1</v>
      </c>
      <c r="F9" s="698">
        <f>D9</f>
        <v>2775849</v>
      </c>
      <c r="G9" s="698">
        <f>D9</f>
        <v>2775849</v>
      </c>
      <c r="H9" s="729">
        <f t="shared" si="2"/>
        <v>8327547</v>
      </c>
      <c r="K9" s="580" t="s">
        <v>723</v>
      </c>
      <c r="L9" s="580">
        <v>509793</v>
      </c>
      <c r="M9" s="580">
        <v>430176</v>
      </c>
    </row>
    <row r="10" spans="1:14" ht="18.75" customHeight="1">
      <c r="A10" s="602" t="s">
        <v>18</v>
      </c>
      <c r="B10" s="603" t="s">
        <v>635</v>
      </c>
      <c r="C10" s="719">
        <v>1897377</v>
      </c>
      <c r="D10" s="698">
        <f>'Bieu 10'!D10</f>
        <v>2374874</v>
      </c>
      <c r="E10" s="707">
        <f>D10/C10</f>
        <v>1.2516616360375403</v>
      </c>
      <c r="F10" s="698">
        <f>'Bieu 10'!F10</f>
        <v>2422371</v>
      </c>
      <c r="G10" s="698">
        <f>'9 sua'!H20</f>
        <v>2470818</v>
      </c>
      <c r="H10" s="729">
        <f t="shared" si="2"/>
        <v>7268063</v>
      </c>
    </row>
    <row r="11" spans="1:14" ht="20.25" customHeight="1">
      <c r="A11" s="602" t="s">
        <v>13</v>
      </c>
      <c r="B11" s="603" t="s">
        <v>649</v>
      </c>
      <c r="C11" s="720">
        <f>C12+C19+C23</f>
        <v>65000</v>
      </c>
      <c r="D11" s="699">
        <f>D12+D19+D23+D24</f>
        <v>11496917</v>
      </c>
      <c r="E11" s="699"/>
      <c r="F11" s="699">
        <f t="shared" ref="F11:G11" si="3">F12+F19+F23+F24</f>
        <v>11892723</v>
      </c>
      <c r="G11" s="699">
        <f t="shared" si="3"/>
        <v>12413297</v>
      </c>
      <c r="H11" s="728">
        <f t="shared" si="2"/>
        <v>35802937</v>
      </c>
      <c r="I11" s="669" t="e">
        <f>'Bieu 9'!C17</f>
        <v>#REF!</v>
      </c>
      <c r="J11" s="621" t="e">
        <f>I11-C11</f>
        <v>#REF!</v>
      </c>
      <c r="K11" s="714">
        <f>164458+406081+1450+331354+120000</f>
        <v>1023343</v>
      </c>
    </row>
    <row r="12" spans="1:14" ht="16.5" customHeight="1">
      <c r="A12" s="602" t="s">
        <v>17</v>
      </c>
      <c r="B12" s="603" t="s">
        <v>542</v>
      </c>
      <c r="C12" s="699">
        <f>C13+C17+C18</f>
        <v>65000</v>
      </c>
      <c r="D12" s="699">
        <f>D13+D17+D18</f>
        <v>3194881</v>
      </c>
      <c r="E12" s="699">
        <f t="shared" ref="E12" si="4">E13+E17</f>
        <v>0</v>
      </c>
      <c r="F12" s="699">
        <f>F13+F17+F18</f>
        <v>3660835</v>
      </c>
      <c r="G12" s="699">
        <f t="shared" ref="G12" si="5">G13+G17+G18</f>
        <v>4184522</v>
      </c>
      <c r="H12" s="728">
        <f t="shared" si="2"/>
        <v>11040238</v>
      </c>
      <c r="J12" s="621">
        <f>G13-F13</f>
        <v>523687</v>
      </c>
      <c r="K12" s="621" t="e">
        <f>K11-J11</f>
        <v>#REF!</v>
      </c>
    </row>
    <row r="13" spans="1:14" ht="20.25" customHeight="1">
      <c r="A13" s="604">
        <v>1</v>
      </c>
      <c r="B13" s="605" t="s">
        <v>543</v>
      </c>
      <c r="C13" s="719"/>
      <c r="D13" s="698">
        <f>'Bieu 10'!D13</f>
        <v>3114881</v>
      </c>
      <c r="E13" s="698"/>
      <c r="F13" s="698">
        <f>'Bieu 10'!F13</f>
        <v>3580835</v>
      </c>
      <c r="G13" s="698">
        <f>'Bieu 10'!G13</f>
        <v>4104522</v>
      </c>
      <c r="H13" s="729">
        <f t="shared" si="2"/>
        <v>10800238</v>
      </c>
      <c r="M13" s="580" t="s">
        <v>720</v>
      </c>
      <c r="N13" s="580" t="s">
        <v>721</v>
      </c>
    </row>
    <row r="14" spans="1:14" ht="20.25" customHeight="1">
      <c r="A14" s="700"/>
      <c r="B14" s="701" t="s">
        <v>161</v>
      </c>
      <c r="C14" s="719"/>
      <c r="D14" s="698"/>
      <c r="E14" s="698"/>
      <c r="F14" s="698"/>
      <c r="G14" s="698"/>
      <c r="H14" s="729">
        <f t="shared" si="2"/>
        <v>0</v>
      </c>
      <c r="K14" s="580" t="s">
        <v>719</v>
      </c>
      <c r="L14" s="580">
        <f>869860</f>
        <v>869860</v>
      </c>
      <c r="M14" s="669">
        <v>506860</v>
      </c>
      <c r="N14" s="669">
        <v>363000</v>
      </c>
    </row>
    <row r="15" spans="1:14" ht="20.25" customHeight="1">
      <c r="A15" s="700" t="s">
        <v>257</v>
      </c>
      <c r="B15" s="701" t="s">
        <v>554</v>
      </c>
      <c r="C15" s="719">
        <f>'Bieu 17'!C52+'Bieu 17'!C55</f>
        <v>393751</v>
      </c>
      <c r="D15" s="698">
        <f>'Bieu 10'!D15</f>
        <v>369954</v>
      </c>
      <c r="E15" s="698"/>
      <c r="F15" s="698">
        <f>'Bieu 10'!F15</f>
        <v>406949</v>
      </c>
      <c r="G15" s="698">
        <f>'Bieu 10'!G15</f>
        <v>447644</v>
      </c>
      <c r="H15" s="729">
        <f t="shared" si="2"/>
        <v>1224547</v>
      </c>
      <c r="I15" s="621"/>
      <c r="M15" s="580">
        <v>2019</v>
      </c>
      <c r="N15" s="580">
        <v>2020</v>
      </c>
    </row>
    <row r="16" spans="1:14" ht="20.25" customHeight="1">
      <c r="A16" s="700" t="s">
        <v>257</v>
      </c>
      <c r="B16" s="701" t="s">
        <v>586</v>
      </c>
      <c r="C16" s="719">
        <f>'Bieu 17'!C58</f>
        <v>894113</v>
      </c>
      <c r="D16" s="698">
        <f>'Bieu 10'!D16</f>
        <v>1717667</v>
      </c>
      <c r="E16" s="698"/>
      <c r="F16" s="698">
        <f>'Bieu 10'!F16</f>
        <v>1889434</v>
      </c>
      <c r="G16" s="698">
        <f>'Bieu 10'!G16</f>
        <v>2078377</v>
      </c>
      <c r="H16" s="729">
        <f t="shared" si="2"/>
        <v>5685478</v>
      </c>
      <c r="J16" s="621"/>
      <c r="K16" s="709">
        <v>2019</v>
      </c>
      <c r="L16" s="709">
        <v>2020</v>
      </c>
      <c r="M16" s="708"/>
    </row>
    <row r="17" spans="1:13" ht="99">
      <c r="A17" s="604">
        <v>2</v>
      </c>
      <c r="B17" s="605" t="s">
        <v>709</v>
      </c>
      <c r="C17" s="719"/>
      <c r="D17" s="698"/>
      <c r="E17" s="698"/>
      <c r="F17" s="698"/>
      <c r="G17" s="698"/>
      <c r="H17" s="729">
        <f t="shared" si="2"/>
        <v>0</v>
      </c>
      <c r="J17" s="580" t="s">
        <v>713</v>
      </c>
      <c r="K17" s="708">
        <v>300000</v>
      </c>
      <c r="L17" s="708">
        <v>350000</v>
      </c>
      <c r="M17" s="708"/>
    </row>
    <row r="18" spans="1:13" ht="20.25" customHeight="1">
      <c r="A18" s="604">
        <v>3</v>
      </c>
      <c r="B18" s="605" t="s">
        <v>426</v>
      </c>
      <c r="C18" s="719">
        <f>'Bieu 17'!C24</f>
        <v>65000</v>
      </c>
      <c r="D18" s="698">
        <f>'Bieu 10'!D18</f>
        <v>80000</v>
      </c>
      <c r="E18" s="698"/>
      <c r="F18" s="698">
        <f>'Bieu 10'!F18</f>
        <v>80000</v>
      </c>
      <c r="G18" s="698">
        <f>'Bieu 10'!G18</f>
        <v>80000</v>
      </c>
      <c r="H18" s="729">
        <f t="shared" si="2"/>
        <v>240000</v>
      </c>
      <c r="J18" s="580" t="s">
        <v>714</v>
      </c>
      <c r="K18" s="708">
        <v>77000</v>
      </c>
      <c r="L18" s="708">
        <v>78000</v>
      </c>
      <c r="M18" s="708"/>
    </row>
    <row r="19" spans="1:13" ht="20.25" customHeight="1">
      <c r="A19" s="602" t="s">
        <v>18</v>
      </c>
      <c r="B19" s="603" t="s">
        <v>710</v>
      </c>
      <c r="C19" s="720"/>
      <c r="D19" s="699">
        <f>'Bieu 10'!D19</f>
        <v>5080090</v>
      </c>
      <c r="E19" s="699"/>
      <c r="F19" s="699">
        <f>'Bieu 10'!F19</f>
        <v>4671942.5</v>
      </c>
      <c r="G19" s="699">
        <f>'Bieu 10'!G19</f>
        <v>5293353</v>
      </c>
      <c r="H19" s="728">
        <f t="shared" si="2"/>
        <v>15045385.5</v>
      </c>
      <c r="J19" s="580" t="s">
        <v>715</v>
      </c>
      <c r="K19" s="708">
        <f>1436806</f>
        <v>1436806</v>
      </c>
      <c r="L19" s="708">
        <f>1667512</f>
        <v>1667512</v>
      </c>
      <c r="M19" s="708"/>
    </row>
    <row r="20" spans="1:13" ht="20.25" customHeight="1">
      <c r="A20" s="700"/>
      <c r="B20" s="701" t="s">
        <v>161</v>
      </c>
      <c r="C20" s="719"/>
      <c r="D20" s="698"/>
      <c r="E20" s="698"/>
      <c r="F20" s="698"/>
      <c r="G20" s="698"/>
      <c r="H20" s="729">
        <f t="shared" si="2"/>
        <v>0</v>
      </c>
      <c r="J20" s="580" t="s">
        <v>716</v>
      </c>
      <c r="K20" s="708">
        <f>K19/2</f>
        <v>718403</v>
      </c>
      <c r="L20" s="708">
        <f>L19/2</f>
        <v>833756</v>
      </c>
    </row>
    <row r="21" spans="1:13" ht="20.25" customHeight="1">
      <c r="A21" s="700" t="s">
        <v>257</v>
      </c>
      <c r="B21" s="701" t="s">
        <v>554</v>
      </c>
      <c r="C21" s="719">
        <f>'Bieu 17'!C53+'Bieu 17'!C56</f>
        <v>124440</v>
      </c>
      <c r="D21" s="698">
        <f>'Bieu 10'!D21</f>
        <v>102967</v>
      </c>
      <c r="E21" s="698"/>
      <c r="F21" s="698">
        <f>'Bieu 10'!F21</f>
        <v>113264</v>
      </c>
      <c r="G21" s="698">
        <f>'Bieu 10'!G21</f>
        <v>124590</v>
      </c>
      <c r="H21" s="729">
        <f t="shared" si="2"/>
        <v>340821</v>
      </c>
      <c r="J21" s="580" t="s">
        <v>717</v>
      </c>
      <c r="K21" s="708">
        <f>ROUND(K20*40%,0)</f>
        <v>287361</v>
      </c>
      <c r="L21" s="708">
        <f>ROUND(L20*40%,0)</f>
        <v>333502</v>
      </c>
    </row>
    <row r="22" spans="1:13" ht="31.5" customHeight="1">
      <c r="A22" s="700" t="s">
        <v>257</v>
      </c>
      <c r="B22" s="701" t="s">
        <v>586</v>
      </c>
      <c r="C22" s="719">
        <f>'Bieu 17'!C62</f>
        <v>52602</v>
      </c>
      <c r="D22" s="698">
        <f>'Bieu 10'!D22</f>
        <v>166576</v>
      </c>
      <c r="E22" s="698"/>
      <c r="F22" s="698">
        <f>'Bieu 10'!F22</f>
        <v>183234</v>
      </c>
      <c r="G22" s="698">
        <f>'Bieu 10'!G22</f>
        <v>201557</v>
      </c>
      <c r="H22" s="729">
        <f t="shared" si="2"/>
        <v>551367</v>
      </c>
      <c r="J22" s="580" t="s">
        <v>718</v>
      </c>
      <c r="K22" s="708">
        <f>K20-K21</f>
        <v>431042</v>
      </c>
      <c r="L22" s="708">
        <f>L20-L21</f>
        <v>500254</v>
      </c>
    </row>
    <row r="23" spans="1:13" ht="34.5" customHeight="1">
      <c r="A23" s="602" t="s">
        <v>196</v>
      </c>
      <c r="B23" s="603" t="s">
        <v>693</v>
      </c>
      <c r="C23" s="720"/>
      <c r="D23" s="699">
        <f>'ngay 27-11'!$F$194</f>
        <v>2802514</v>
      </c>
      <c r="E23" s="699"/>
      <c r="F23" s="699">
        <f>'Bieu 10'!F23</f>
        <v>3132369.5</v>
      </c>
      <c r="G23" s="699">
        <f>'Bieu 10'!G23</f>
        <v>2935422</v>
      </c>
      <c r="H23" s="728">
        <f t="shared" si="2"/>
        <v>8870305.5</v>
      </c>
    </row>
    <row r="24" spans="1:13" ht="36.75" customHeight="1" thickBot="1">
      <c r="A24" s="702" t="s">
        <v>197</v>
      </c>
      <c r="B24" s="703" t="s">
        <v>724</v>
      </c>
      <c r="C24" s="721"/>
      <c r="D24" s="704">
        <f>'Bieu 17'!D44+'Bieu 17'!D45+'Biểu 49'!D44</f>
        <v>419432</v>
      </c>
      <c r="E24" s="704"/>
      <c r="F24" s="704">
        <v>427576</v>
      </c>
      <c r="G24" s="704">
        <f>'Bieu 10'!G30</f>
        <v>0</v>
      </c>
      <c r="H24" s="730">
        <f t="shared" si="2"/>
        <v>847008</v>
      </c>
    </row>
    <row r="25" spans="1:13" ht="31.5" customHeight="1">
      <c r="A25" s="722"/>
      <c r="B25" s="723"/>
      <c r="C25" s="724"/>
      <c r="D25" s="725"/>
      <c r="E25" s="725"/>
      <c r="F25" s="725"/>
      <c r="G25" s="725"/>
    </row>
    <row r="26" spans="1:13" ht="31.5" customHeight="1">
      <c r="A26" s="1086"/>
      <c r="B26" s="1086"/>
      <c r="C26" s="1086"/>
      <c r="D26" s="1086"/>
      <c r="E26" s="1086"/>
      <c r="F26" s="1086"/>
      <c r="G26" s="1086"/>
    </row>
    <row r="27" spans="1:13" ht="31.5" customHeight="1">
      <c r="A27" s="1087"/>
      <c r="B27" s="1087"/>
      <c r="C27" s="1087"/>
      <c r="D27" s="1087"/>
      <c r="E27" s="1087"/>
      <c r="F27" s="1087"/>
      <c r="G27" s="1087"/>
    </row>
    <row r="28" spans="1:13" ht="31.5" customHeight="1"/>
    <row r="29" spans="1:13" ht="40.5" customHeight="1"/>
    <row r="30" spans="1:13" ht="20.25" customHeight="1"/>
    <row r="31" spans="1:13" ht="20.25" customHeight="1"/>
    <row r="32" spans="1:13" ht="20.25" customHeight="1"/>
    <row r="33" ht="31.5" customHeight="1"/>
    <row r="34" ht="20.25" customHeight="1"/>
    <row r="35" ht="20.25" customHeight="1"/>
    <row r="36" ht="20.25" customHeight="1"/>
    <row r="37" ht="19.5" customHeight="1"/>
    <row r="38" ht="16.5" hidden="1" customHeight="1"/>
    <row r="39" ht="23.25" customHeight="1"/>
    <row r="40" ht="23.25" hidden="1" customHeight="1"/>
    <row r="41" ht="23.25" hidden="1" customHeight="1"/>
    <row r="42" ht="16.5" hidden="1" customHeight="1"/>
    <row r="44" ht="16.5" hidden="1" customHeight="1"/>
    <row r="47" ht="21" customHeight="1"/>
    <row r="48" ht="21" hidden="1" customHeight="1"/>
    <row r="49" ht="21" hidden="1" customHeight="1"/>
    <row r="50" ht="16.5" hidden="1" customHeight="1"/>
    <row r="51" ht="16.5" hidden="1" customHeight="1"/>
    <row r="55" ht="21" hidden="1" customHeight="1"/>
    <row r="56" ht="21"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47.25" hidden="1" customHeight="1"/>
    <row r="68" ht="16.5" hidden="1" customHeight="1"/>
    <row r="71" ht="16.5" hidden="1" customHeight="1"/>
    <row r="77" ht="16.5" hidden="1" customHeight="1"/>
    <row r="78" ht="16.5" hidden="1" customHeight="1"/>
    <row r="81" ht="16.5" hidden="1" customHeight="1"/>
    <row r="82" ht="16.5" hidden="1" customHeight="1"/>
    <row r="83" ht="16.5" hidden="1" customHeight="1"/>
    <row r="99" ht="16.5" hidden="1" customHeight="1"/>
    <row r="101" ht="16.5" hidden="1" customHeight="1"/>
    <row r="104" ht="16.5" hidden="1" customHeight="1"/>
    <row r="105" ht="16.5" hidden="1" customHeight="1"/>
    <row r="106" ht="16.5" hidden="1" customHeight="1"/>
    <row r="108" ht="16.5" hidden="1" customHeight="1"/>
    <row r="109" ht="16.5" hidden="1" customHeight="1"/>
    <row r="110" ht="16.5" hidden="1" customHeight="1"/>
    <row r="112" ht="16.5" hidden="1" customHeight="1"/>
    <row r="119" ht="16.5" hidden="1" customHeight="1"/>
    <row r="120" ht="16.5" hidden="1" customHeight="1"/>
    <row r="123" ht="16.5" hidden="1" customHeight="1"/>
    <row r="124" ht="16.5" hidden="1" customHeight="1"/>
    <row r="125" ht="16.5" hidden="1" customHeight="1"/>
    <row r="127" ht="16.5" hidden="1" customHeight="1"/>
    <row r="128" ht="16.5" hidden="1" customHeight="1"/>
    <row r="129" ht="16.5" hidden="1" customHeight="1"/>
    <row r="132" ht="16.5" hidden="1" customHeight="1"/>
    <row r="133" ht="16.5" hidden="1" customHeight="1"/>
    <row r="134" ht="16.5" hidden="1" customHeight="1"/>
    <row r="136" ht="16.5" hidden="1" customHeight="1"/>
    <row r="137" ht="16.5" hidden="1" customHeight="1"/>
    <row r="138" ht="16.5" hidden="1" customHeight="1"/>
    <row r="141" ht="16.5" hidden="1" customHeight="1"/>
    <row r="142" ht="16.5" hidden="1" customHeight="1"/>
    <row r="143" ht="16.5" hidden="1" customHeight="1"/>
    <row r="144" ht="16.5" hidden="1" customHeight="1"/>
    <row r="145" ht="16.5" hidden="1" customHeight="1"/>
    <row r="146" ht="31.5" hidden="1" customHeight="1"/>
    <row r="147" ht="31.5" hidden="1" customHeight="1"/>
    <row r="148" ht="33.75" hidden="1" customHeight="1"/>
    <row r="149" ht="33.75" hidden="1" customHeight="1"/>
    <row r="150" ht="33.75" hidden="1" customHeight="1"/>
    <row r="151" ht="31.5" hidden="1" customHeight="1"/>
    <row r="153" ht="16.5" hidden="1" customHeight="1"/>
    <row r="159" ht="16.5" hidden="1" customHeight="1"/>
    <row r="160" ht="16.5" hidden="1" customHeight="1"/>
    <row r="164" ht="16.5" hidden="1" customHeight="1"/>
    <row r="165" ht="16.5" hidden="1" customHeight="1"/>
    <row r="166" ht="16.5" hidden="1" customHeight="1"/>
    <row r="167" ht="16.5" hidden="1" customHeight="1"/>
    <row r="168" ht="16.5" hidden="1" customHeight="1"/>
    <row r="169" ht="16.5" hidden="1" customHeight="1"/>
    <row r="170" ht="16.5" hidden="1" customHeight="1"/>
    <row r="172" ht="16.5" hidden="1" customHeight="1"/>
    <row r="177" ht="26.25" customHeight="1"/>
    <row r="193" ht="16.5" hidden="1" customHeight="1"/>
    <row r="196" ht="16.5" hidden="1" customHeight="1"/>
    <row r="199" ht="16.5" hidden="1" customHeight="1"/>
    <row r="200" ht="16.5" hidden="1" customHeight="1"/>
    <row r="201" ht="16.5" hidden="1" customHeight="1"/>
    <row r="203" ht="16.5" hidden="1" customHeight="1"/>
    <row r="204" ht="16.5" hidden="1" customHeight="1"/>
    <row r="205" ht="16.5" hidden="1" customHeight="1"/>
    <row r="208" ht="16.5" hidden="1" customHeight="1"/>
    <row r="209" ht="16.5" hidden="1" customHeight="1"/>
    <row r="210" ht="16.5" hidden="1" customHeight="1"/>
    <row r="212" ht="16.5" hidden="1" customHeight="1"/>
    <row r="223" ht="16.5" hidden="1" customHeight="1"/>
    <row r="224" ht="16.5" hidden="1" customHeight="1"/>
    <row r="226" ht="16.5" hidden="1" customHeight="1"/>
    <row r="228" ht="16.5" hidden="1" customHeight="1"/>
    <row r="229" ht="16.5" hidden="1" customHeight="1"/>
    <row r="230" ht="16.5" hidden="1" customHeight="1"/>
    <row r="232" ht="16.5" hidden="1" customHeight="1"/>
    <row r="233" ht="16.5" hidden="1" customHeight="1"/>
    <row r="234" ht="16.5" hidden="1" customHeight="1"/>
  </sheetData>
  <mergeCells count="6">
    <mergeCell ref="A27:G27"/>
    <mergeCell ref="A2:H2"/>
    <mergeCell ref="A1:H1"/>
    <mergeCell ref="A4:H4"/>
    <mergeCell ref="A3:G3"/>
    <mergeCell ref="A26:G26"/>
  </mergeCells>
  <pageMargins left="0.59055118110236227" right="0" top="0.59055118110236227" bottom="0.43307086614173229" header="0.31496062992125984" footer="0.31496062992125984"/>
  <pageSetup paperSize="9" orientation="portrait" verticalDpi="0" r:id="rId1"/>
  <headerFooter>
    <oddFooter>&amp;C&amp;P/&amp;N</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34"/>
  <sheetViews>
    <sheetView topLeftCell="A4" workbookViewId="0">
      <pane xSplit="2" ySplit="5" topLeftCell="C9" activePane="bottomRight" state="frozen"/>
      <selection activeCell="J4" sqref="J4"/>
      <selection pane="topRight" activeCell="J4" sqref="J4"/>
      <selection pane="bottomLeft" activeCell="J4" sqref="J4"/>
      <selection pane="bottomRight" activeCell="C4" sqref="C4:J4"/>
    </sheetView>
  </sheetViews>
  <sheetFormatPr defaultColWidth="9.140625" defaultRowHeight="16.5"/>
  <cols>
    <col min="1" max="1" width="6.5703125" style="421" bestFit="1" customWidth="1"/>
    <col min="2" max="2" width="31" style="420" customWidth="1"/>
    <col min="3" max="3" width="13.28515625" style="420" customWidth="1"/>
    <col min="4" max="4" width="16.85546875" style="420" customWidth="1"/>
    <col min="5" max="8" width="14" style="420" customWidth="1"/>
    <col min="9" max="10" width="13.7109375" style="420" customWidth="1"/>
    <col min="11" max="11" width="13.28515625" style="420" customWidth="1"/>
    <col min="12" max="20" width="14.140625" style="420" customWidth="1"/>
    <col min="21" max="23" width="13" style="420" customWidth="1"/>
    <col min="24" max="24" width="13.5703125" style="426" customWidth="1"/>
    <col min="25" max="37" width="14.140625" style="420" customWidth="1"/>
    <col min="38" max="39" width="15" style="440" customWidth="1"/>
    <col min="40" max="40" width="15.5703125" style="426" customWidth="1"/>
    <col min="41" max="41" width="16" style="440" customWidth="1"/>
    <col min="42" max="42" width="12.5703125" style="440" customWidth="1"/>
    <col min="43" max="43" width="14.140625" style="440" customWidth="1"/>
    <col min="44" max="44" width="14.42578125" style="440" customWidth="1"/>
    <col min="45" max="45" width="16.140625" style="440" customWidth="1"/>
    <col min="46" max="46" width="10.7109375" style="440" customWidth="1"/>
    <col min="47" max="47" width="10.42578125" style="444" customWidth="1"/>
    <col min="48" max="48" width="8" style="420" customWidth="1"/>
    <col min="49" max="16384" width="9.140625" style="420"/>
  </cols>
  <sheetData>
    <row r="1" spans="1:48" ht="22.5" customHeight="1">
      <c r="A1" s="1095" t="s">
        <v>399</v>
      </c>
      <c r="B1" s="1095"/>
      <c r="C1" s="1095"/>
      <c r="D1" s="1095"/>
      <c r="E1" s="1095"/>
      <c r="F1" s="1095"/>
      <c r="G1" s="1095"/>
      <c r="H1" s="1095"/>
      <c r="I1" s="1095"/>
      <c r="J1" s="1095"/>
      <c r="K1" s="1095"/>
      <c r="L1" s="1095"/>
      <c r="M1" s="1095"/>
      <c r="N1" s="1095"/>
      <c r="O1" s="1095"/>
      <c r="P1" s="1095"/>
      <c r="Q1" s="1095"/>
      <c r="R1" s="1095"/>
      <c r="S1" s="1095"/>
      <c r="T1" s="1095"/>
      <c r="U1" s="1095"/>
      <c r="V1" s="1095"/>
      <c r="W1" s="1095"/>
      <c r="X1" s="1095"/>
      <c r="Y1" s="539"/>
      <c r="Z1" s="539"/>
      <c r="AA1" s="539"/>
      <c r="AB1" s="454"/>
      <c r="AC1" s="539"/>
      <c r="AD1" s="539"/>
      <c r="AE1" s="539"/>
      <c r="AF1" s="454"/>
      <c r="AG1" s="454"/>
      <c r="AH1" s="454"/>
      <c r="AI1" s="454"/>
      <c r="AJ1" s="454"/>
      <c r="AK1" s="454"/>
      <c r="AL1" s="454"/>
      <c r="AM1" s="454"/>
      <c r="AN1" s="504"/>
      <c r="AO1" s="454"/>
    </row>
    <row r="2" spans="1:48" ht="21" customHeight="1">
      <c r="A2" s="1096"/>
      <c r="B2" s="1096"/>
      <c r="C2" s="1096"/>
      <c r="D2" s="1096"/>
      <c r="E2" s="1096"/>
      <c r="F2" s="1096"/>
      <c r="G2" s="1096"/>
      <c r="H2" s="1096"/>
      <c r="I2" s="1096"/>
      <c r="J2" s="1096"/>
      <c r="K2" s="1096"/>
      <c r="L2" s="1096"/>
      <c r="M2" s="1096"/>
      <c r="N2" s="1096"/>
      <c r="O2" s="1096"/>
      <c r="P2" s="1096"/>
      <c r="Q2" s="1096"/>
      <c r="R2" s="1096"/>
      <c r="S2" s="1096"/>
      <c r="T2" s="1096"/>
      <c r="U2" s="1096"/>
      <c r="V2" s="1096"/>
      <c r="W2" s="1096"/>
      <c r="X2" s="1096"/>
      <c r="Y2" s="540"/>
      <c r="Z2" s="540"/>
      <c r="AA2" s="540"/>
      <c r="AB2" s="455"/>
      <c r="AC2" s="540"/>
      <c r="AD2" s="540"/>
      <c r="AE2" s="540"/>
      <c r="AF2" s="455"/>
      <c r="AG2" s="455"/>
      <c r="AH2" s="455"/>
      <c r="AI2" s="455"/>
      <c r="AJ2" s="455"/>
      <c r="AK2" s="455"/>
      <c r="AL2" s="455"/>
      <c r="AM2" s="455"/>
      <c r="AN2" s="503"/>
      <c r="AO2" s="455"/>
    </row>
    <row r="3" spans="1:48">
      <c r="B3" s="422"/>
      <c r="C3" s="422"/>
      <c r="D3" s="422"/>
      <c r="E3" s="422"/>
      <c r="F3" s="422"/>
      <c r="G3" s="422"/>
      <c r="H3" s="422"/>
      <c r="I3" s="422"/>
      <c r="J3" s="422"/>
      <c r="K3" s="422"/>
      <c r="L3" s="422"/>
      <c r="M3" s="422"/>
      <c r="N3" s="422"/>
      <c r="O3" s="422"/>
      <c r="P3" s="422"/>
      <c r="Q3" s="422"/>
      <c r="R3" s="422"/>
      <c r="S3" s="422"/>
      <c r="T3" s="422"/>
      <c r="U3" s="422"/>
      <c r="V3" s="422"/>
      <c r="W3" s="422"/>
      <c r="X3" s="423"/>
      <c r="Y3" s="422"/>
      <c r="Z3" s="422"/>
      <c r="AA3" s="422"/>
      <c r="AB3" s="422"/>
      <c r="AC3" s="422"/>
      <c r="AD3" s="422"/>
      <c r="AE3" s="422"/>
      <c r="AF3" s="422"/>
      <c r="AG3" s="422"/>
      <c r="AH3" s="422"/>
      <c r="AI3" s="422"/>
      <c r="AJ3" s="422"/>
      <c r="AK3" s="422"/>
      <c r="AL3" s="443"/>
      <c r="AM3" s="443"/>
      <c r="AN3" s="423"/>
      <c r="AO3" s="443"/>
    </row>
    <row r="4" spans="1:48" ht="16.5" customHeight="1">
      <c r="A4" s="1093" t="s">
        <v>378</v>
      </c>
      <c r="B4" s="1093" t="s">
        <v>379</v>
      </c>
      <c r="C4" s="1098" t="s">
        <v>502</v>
      </c>
      <c r="D4" s="1099"/>
      <c r="E4" s="1099"/>
      <c r="F4" s="1099"/>
      <c r="G4" s="1099"/>
      <c r="H4" s="1099"/>
      <c r="I4" s="1099"/>
      <c r="J4" s="1100"/>
      <c r="K4" s="1093" t="s">
        <v>472</v>
      </c>
      <c r="L4" s="1097" t="s">
        <v>380</v>
      </c>
      <c r="M4" s="1097"/>
      <c r="N4" s="1097"/>
      <c r="O4" s="1097"/>
      <c r="P4" s="1097"/>
      <c r="Q4" s="1097"/>
      <c r="R4" s="1097"/>
      <c r="S4" s="1097"/>
      <c r="T4" s="1097"/>
      <c r="U4" s="1097"/>
      <c r="V4" s="1097"/>
      <c r="W4" s="1097"/>
      <c r="X4" s="1097"/>
      <c r="Y4" s="541"/>
      <c r="Z4" s="541"/>
      <c r="AA4" s="541"/>
      <c r="AB4" s="505"/>
      <c r="AC4" s="541"/>
      <c r="AD4" s="541"/>
      <c r="AE4" s="541"/>
      <c r="AF4" s="505"/>
      <c r="AG4" s="505"/>
      <c r="AH4" s="505"/>
      <c r="AI4" s="505"/>
      <c r="AJ4" s="505"/>
      <c r="AK4" s="505"/>
      <c r="AL4" s="505"/>
      <c r="AM4" s="505"/>
      <c r="AN4" s="508"/>
      <c r="AO4" s="452"/>
    </row>
    <row r="5" spans="1:48" ht="21.75" customHeight="1">
      <c r="A5" s="1093"/>
      <c r="B5" s="1093"/>
      <c r="C5" s="1101" t="s">
        <v>405</v>
      </c>
      <c r="D5" s="1104" t="s">
        <v>471</v>
      </c>
      <c r="E5" s="1105"/>
      <c r="F5" s="1105"/>
      <c r="G5" s="1105"/>
      <c r="H5" s="1105"/>
      <c r="I5" s="1105"/>
      <c r="J5" s="1106"/>
      <c r="K5" s="1093"/>
      <c r="L5" s="1093" t="s">
        <v>474</v>
      </c>
      <c r="M5" s="1093"/>
      <c r="N5" s="1093"/>
      <c r="O5" s="1093"/>
      <c r="P5" s="1093"/>
      <c r="Q5" s="1093"/>
      <c r="R5" s="1093"/>
      <c r="S5" s="1093"/>
      <c r="T5" s="1093"/>
      <c r="U5" s="1092" t="s">
        <v>382</v>
      </c>
      <c r="V5" s="1092"/>
      <c r="W5" s="1092"/>
      <c r="X5" s="1092" t="s">
        <v>479</v>
      </c>
      <c r="Y5" s="1107" t="s">
        <v>498</v>
      </c>
      <c r="Z5" s="1107"/>
      <c r="AA5" s="1107"/>
      <c r="AB5" s="1107"/>
      <c r="AC5" s="1107"/>
      <c r="AD5" s="1107"/>
      <c r="AE5" s="1107"/>
      <c r="AF5" s="1107"/>
      <c r="AG5" s="1094"/>
      <c r="AH5" s="509"/>
      <c r="AI5" s="509"/>
      <c r="AJ5" s="509"/>
      <c r="AK5" s="509"/>
      <c r="AL5" s="506"/>
      <c r="AM5" s="506"/>
      <c r="AN5" s="509"/>
      <c r="AO5" s="505"/>
      <c r="AP5" s="448" t="s">
        <v>404</v>
      </c>
      <c r="AQ5" s="1090" t="s">
        <v>405</v>
      </c>
      <c r="AR5" s="1090"/>
      <c r="AS5" s="1090"/>
      <c r="AT5" s="453"/>
    </row>
    <row r="6" spans="1:48" ht="36" customHeight="1">
      <c r="A6" s="1093"/>
      <c r="B6" s="1093"/>
      <c r="C6" s="1102"/>
      <c r="D6" s="1104"/>
      <c r="E6" s="1105"/>
      <c r="F6" s="1105"/>
      <c r="G6" s="1105"/>
      <c r="H6" s="1105"/>
      <c r="I6" s="1105"/>
      <c r="J6" s="1106"/>
      <c r="K6" s="1093"/>
      <c r="L6" s="1092" t="s">
        <v>405</v>
      </c>
      <c r="M6" s="1092"/>
      <c r="N6" s="1092"/>
      <c r="O6" s="1092" t="s">
        <v>462</v>
      </c>
      <c r="P6" s="1092"/>
      <c r="Q6" s="1092"/>
      <c r="R6" s="1092" t="s">
        <v>477</v>
      </c>
      <c r="S6" s="1092"/>
      <c r="T6" s="1092"/>
      <c r="U6" s="1092"/>
      <c r="V6" s="1092"/>
      <c r="W6" s="1092"/>
      <c r="X6" s="1092"/>
      <c r="Y6" s="1092" t="s">
        <v>353</v>
      </c>
      <c r="Z6" s="1092"/>
      <c r="AA6" s="1092"/>
      <c r="AB6" s="1092"/>
      <c r="AC6" s="1092" t="s">
        <v>354</v>
      </c>
      <c r="AD6" s="1092"/>
      <c r="AE6" s="1092"/>
      <c r="AF6" s="1092"/>
      <c r="AG6" s="1094"/>
      <c r="AH6" s="509"/>
      <c r="AI6" s="509"/>
      <c r="AJ6" s="509"/>
      <c r="AK6" s="509"/>
      <c r="AL6" s="506"/>
      <c r="AM6" s="506"/>
      <c r="AN6" s="519" t="e">
        <f>AN34+R34</f>
        <v>#REF!</v>
      </c>
      <c r="AO6" s="506" t="s">
        <v>457</v>
      </c>
      <c r="AP6" s="448"/>
      <c r="AQ6" s="453" t="s">
        <v>406</v>
      </c>
      <c r="AR6" s="453" t="s">
        <v>37</v>
      </c>
      <c r="AS6" s="453" t="s">
        <v>407</v>
      </c>
      <c r="AT6" s="453"/>
    </row>
    <row r="7" spans="1:48" ht="18.75" customHeight="1">
      <c r="A7" s="1093"/>
      <c r="B7" s="1093"/>
      <c r="C7" s="1102"/>
      <c r="D7" s="1104"/>
      <c r="E7" s="1105"/>
      <c r="F7" s="1105"/>
      <c r="G7" s="1105"/>
      <c r="H7" s="1105"/>
      <c r="I7" s="1105"/>
      <c r="J7" s="1106"/>
      <c r="K7" s="1093"/>
      <c r="L7" s="1092" t="s">
        <v>405</v>
      </c>
      <c r="M7" s="1092" t="s">
        <v>403</v>
      </c>
      <c r="N7" s="1092" t="s">
        <v>402</v>
      </c>
      <c r="O7" s="1092" t="s">
        <v>405</v>
      </c>
      <c r="P7" s="1092" t="s">
        <v>403</v>
      </c>
      <c r="Q7" s="1092" t="s">
        <v>402</v>
      </c>
      <c r="R7" s="1092" t="s">
        <v>405</v>
      </c>
      <c r="S7" s="1092" t="s">
        <v>403</v>
      </c>
      <c r="T7" s="1092" t="s">
        <v>402</v>
      </c>
      <c r="U7" s="1092" t="s">
        <v>405</v>
      </c>
      <c r="V7" s="1092" t="s">
        <v>500</v>
      </c>
      <c r="W7" s="1092" t="s">
        <v>476</v>
      </c>
      <c r="X7" s="1092"/>
      <c r="Y7" s="1092" t="s">
        <v>405</v>
      </c>
      <c r="Z7" s="1092" t="s">
        <v>403</v>
      </c>
      <c r="AA7" s="1092" t="s">
        <v>499</v>
      </c>
      <c r="AB7" s="1092" t="s">
        <v>402</v>
      </c>
      <c r="AC7" s="1092" t="s">
        <v>405</v>
      </c>
      <c r="AD7" s="1092" t="s">
        <v>403</v>
      </c>
      <c r="AE7" s="1092" t="s">
        <v>499</v>
      </c>
      <c r="AF7" s="1092" t="s">
        <v>402</v>
      </c>
      <c r="AG7" s="1094"/>
      <c r="AH7" s="509"/>
      <c r="AI7" s="509"/>
      <c r="AJ7" s="509"/>
      <c r="AK7" s="509"/>
      <c r="AL7" s="506">
        <f>AL9-AL8</f>
        <v>6179170</v>
      </c>
      <c r="AM7" s="506">
        <f>AL7/2</f>
        <v>3089585</v>
      </c>
      <c r="AN7" s="509"/>
      <c r="AO7" s="507">
        <v>12451789</v>
      </c>
      <c r="AP7" s="448">
        <v>73885</v>
      </c>
      <c r="AQ7" s="453">
        <f>AO7+AP7</f>
        <v>12525674</v>
      </c>
      <c r="AR7" s="453"/>
      <c r="AS7" s="453"/>
      <c r="AT7" s="453"/>
    </row>
    <row r="8" spans="1:48" ht="49.5" customHeight="1">
      <c r="A8" s="1093"/>
      <c r="B8" s="1093"/>
      <c r="C8" s="1103"/>
      <c r="D8" s="552" t="s">
        <v>503</v>
      </c>
      <c r="E8" s="552" t="s">
        <v>504</v>
      </c>
      <c r="F8" s="559" t="s">
        <v>507</v>
      </c>
      <c r="G8" s="559"/>
      <c r="H8" s="559"/>
      <c r="I8" s="559" t="s">
        <v>505</v>
      </c>
      <c r="J8" s="552" t="s">
        <v>506</v>
      </c>
      <c r="K8" s="1093"/>
      <c r="L8" s="1092"/>
      <c r="M8" s="1092"/>
      <c r="N8" s="1092"/>
      <c r="O8" s="1092"/>
      <c r="P8" s="1092"/>
      <c r="Q8" s="1092"/>
      <c r="R8" s="1092"/>
      <c r="S8" s="1092"/>
      <c r="T8" s="1092"/>
      <c r="U8" s="1092"/>
      <c r="V8" s="1092"/>
      <c r="W8" s="1092"/>
      <c r="X8" s="1092"/>
      <c r="Y8" s="1092"/>
      <c r="Z8" s="1092"/>
      <c r="AA8" s="1092"/>
      <c r="AB8" s="1092"/>
      <c r="AC8" s="1092"/>
      <c r="AD8" s="1092"/>
      <c r="AE8" s="1092"/>
      <c r="AF8" s="1092"/>
      <c r="AG8" s="1094"/>
      <c r="AH8" s="509"/>
      <c r="AI8" s="509"/>
      <c r="AJ8" s="509"/>
      <c r="AK8" s="509"/>
      <c r="AL8" s="506">
        <f>W9+R9</f>
        <v>0</v>
      </c>
      <c r="AM8" s="506"/>
      <c r="AN8" s="518"/>
      <c r="AO8" s="506"/>
      <c r="AP8" s="448"/>
      <c r="AQ8" s="453"/>
      <c r="AR8" s="453"/>
      <c r="AS8" s="453"/>
      <c r="AT8" s="453"/>
    </row>
    <row r="9" spans="1:48" ht="32.25" customHeight="1">
      <c r="A9" s="534"/>
      <c r="B9" s="534" t="s">
        <v>383</v>
      </c>
      <c r="C9" s="534"/>
      <c r="D9" s="534"/>
      <c r="E9" s="534"/>
      <c r="F9" s="534"/>
      <c r="G9" s="534"/>
      <c r="H9" s="534"/>
      <c r="I9" s="535"/>
      <c r="J9" s="535"/>
      <c r="K9" s="535"/>
      <c r="L9" s="535"/>
      <c r="M9" s="535"/>
      <c r="N9" s="535"/>
      <c r="O9" s="535"/>
      <c r="P9" s="535"/>
      <c r="Q9" s="535"/>
      <c r="R9" s="535"/>
      <c r="S9" s="535"/>
      <c r="T9" s="535"/>
      <c r="U9" s="535"/>
      <c r="V9" s="535"/>
      <c r="W9" s="535"/>
      <c r="X9" s="487"/>
      <c r="Y9" s="535"/>
      <c r="Z9" s="535"/>
      <c r="AA9" s="535"/>
      <c r="AB9" s="535"/>
      <c r="AC9" s="535"/>
      <c r="AD9" s="535"/>
      <c r="AE9" s="535"/>
      <c r="AF9" s="535"/>
      <c r="AG9" s="1094"/>
      <c r="AH9" s="510"/>
      <c r="AI9" s="510"/>
      <c r="AJ9" s="510"/>
      <c r="AK9" s="510"/>
      <c r="AL9" s="516">
        <f>6179170</f>
        <v>6179170</v>
      </c>
      <c r="AM9" s="516"/>
      <c r="AN9" s="510"/>
      <c r="AO9" s="456">
        <f>O9+U9+X9</f>
        <v>0</v>
      </c>
      <c r="AP9" s="471">
        <f>10646879</f>
        <v>10646879</v>
      </c>
      <c r="AQ9" s="471">
        <v>245080</v>
      </c>
      <c r="AR9" s="440">
        <v>790680</v>
      </c>
      <c r="AS9" s="440">
        <v>500000</v>
      </c>
      <c r="AT9" s="440">
        <v>70000</v>
      </c>
      <c r="AU9" s="444">
        <v>197700</v>
      </c>
      <c r="AV9" s="440">
        <v>1450</v>
      </c>
    </row>
    <row r="10" spans="1:48" ht="18.75" customHeight="1">
      <c r="A10" s="536" t="s">
        <v>12</v>
      </c>
      <c r="B10" s="537" t="s">
        <v>384</v>
      </c>
      <c r="C10" s="537">
        <f>SUM(D10:J10)</f>
        <v>0</v>
      </c>
      <c r="D10" s="544">
        <f>D11+D34+D171+D172+D187+D190+D191+D192+D193</f>
        <v>0</v>
      </c>
      <c r="E10" s="544">
        <f t="shared" ref="E10:J10" si="0">E11+E34+E171+E172+E187+E190+E191+E192+E193</f>
        <v>0</v>
      </c>
      <c r="F10" s="544">
        <f t="shared" si="0"/>
        <v>0</v>
      </c>
      <c r="G10" s="544">
        <f t="shared" ref="G10" si="1">G11+G34+G171+G172+G187+G190+G191+G192+G193</f>
        <v>0</v>
      </c>
      <c r="H10" s="544">
        <f t="shared" ref="H10" si="2">H11+H34+H171+H172+H187+H190+H191+H192+H193</f>
        <v>0</v>
      </c>
      <c r="I10" s="544">
        <f t="shared" si="0"/>
        <v>0</v>
      </c>
      <c r="J10" s="544">
        <f t="shared" si="0"/>
        <v>0</v>
      </c>
      <c r="K10" s="538" t="e">
        <f>K11+K34+K171+K190+K191+K192+K172+K187+K193</f>
        <v>#REF!</v>
      </c>
      <c r="L10" s="538">
        <f>M10+N10</f>
        <v>4544424</v>
      </c>
      <c r="M10" s="538">
        <f>M11+M34+M171+M190+M191+M192+M172+M187+M193</f>
        <v>2451250</v>
      </c>
      <c r="N10" s="538">
        <f>N11+N34+N171+N190+N191+N192+N172+N187+N193</f>
        <v>2093174</v>
      </c>
      <c r="O10" s="538">
        <f>P10+Q10</f>
        <v>4135021</v>
      </c>
      <c r="P10" s="538">
        <f>P11+P34+P171+P190+P191+P192+P172+P187+P193</f>
        <v>2451250</v>
      </c>
      <c r="Q10" s="538">
        <f>Q11+Q34+Q171+Q190+Q191+Q192+Q172+Q187+Q193</f>
        <v>1683771</v>
      </c>
      <c r="R10" s="538">
        <f>R11+R34+R171+R190+R191+R192+R172+R187+R193</f>
        <v>409403</v>
      </c>
      <c r="S10" s="538">
        <f>S11+S34+S171+S190+S191+S192+S172+S187+S193</f>
        <v>0</v>
      </c>
      <c r="T10" s="558">
        <f>T11+T34+T171+T190+T191+T192+T172+T187+T193</f>
        <v>409403</v>
      </c>
      <c r="U10" s="538">
        <f>V10+W10</f>
        <v>7271021</v>
      </c>
      <c r="V10" s="538">
        <f>V11+V34+V171+V190+V191+V192+V172+V187+V193</f>
        <v>7117306</v>
      </c>
      <c r="W10" s="558">
        <f>W11+W34+W171+W190+W191+W192+W172+W187</f>
        <v>153715</v>
      </c>
      <c r="X10" s="521" t="e">
        <f>X11+X34+X171+X190+X191+X192+X172+X187</f>
        <v>#REF!</v>
      </c>
      <c r="Y10" s="538">
        <f>Z10+AA10+AB10</f>
        <v>0</v>
      </c>
      <c r="Z10" s="538">
        <f>Z11+Z34+Z171+Z190+Z191+Z192+Z172+Z187+Z193</f>
        <v>0</v>
      </c>
      <c r="AA10" s="538">
        <f>AA11+AA34+AA171+AA190+AA191+AA192+AA172+AA187+AA193</f>
        <v>0</v>
      </c>
      <c r="AB10" s="538">
        <f>AB11+AB34+AB171+AB190+AB191+AB192+AB172+AB187+AB193</f>
        <v>0</v>
      </c>
      <c r="AC10" s="538">
        <f>AD10+AE10+AF10</f>
        <v>0</v>
      </c>
      <c r="AD10" s="538">
        <f>AD11+AD34+AD171+AD190+AD191+AD192+AD172+AD187+AD193</f>
        <v>0</v>
      </c>
      <c r="AE10" s="538">
        <f>AE11+AE34+AE171+AE190+AE191+AE192+AE172+AE187+AE193</f>
        <v>0</v>
      </c>
      <c r="AF10" s="538">
        <f>AF11+AF34+AF171+AF190+AF191+AF192+AF172+AF187+AF193</f>
        <v>0</v>
      </c>
      <c r="AG10" s="511">
        <f>O10+U10</f>
        <v>11406042</v>
      </c>
      <c r="AH10" s="511"/>
      <c r="AI10" s="511"/>
      <c r="AJ10" s="511"/>
      <c r="AK10" s="511"/>
      <c r="AL10" s="517"/>
      <c r="AM10" s="517"/>
      <c r="AN10" s="511"/>
      <c r="AO10" s="457">
        <f>K9-AO9</f>
        <v>0</v>
      </c>
      <c r="AP10" s="471" t="e">
        <f>AP9+AQ9+AR9+AS9+AT9+AU9+AV9-K10</f>
        <v>#REF!</v>
      </c>
      <c r="AQ10" s="471"/>
      <c r="AV10" s="427"/>
    </row>
    <row r="11" spans="1:48" ht="20.25" customHeight="1">
      <c r="A11" s="428" t="s">
        <v>17</v>
      </c>
      <c r="B11" s="429" t="s">
        <v>385</v>
      </c>
      <c r="C11" s="545">
        <f t="shared" ref="C11:C74" si="3">SUM(D11:J11)</f>
        <v>0</v>
      </c>
      <c r="D11" s="429">
        <f>D12+D27+D28+D29+D32+D33</f>
        <v>0</v>
      </c>
      <c r="E11" s="429">
        <f t="shared" ref="E11:J11" si="4">E12+E27+E28+E29+E32+E33</f>
        <v>0</v>
      </c>
      <c r="F11" s="429">
        <f t="shared" si="4"/>
        <v>0</v>
      </c>
      <c r="G11" s="429">
        <f t="shared" ref="G11" si="5">G12+G27+G28+G29+G32+G33</f>
        <v>0</v>
      </c>
      <c r="H11" s="429">
        <f t="shared" ref="H11" si="6">H12+H27+H28+H29+H32+H33</f>
        <v>0</v>
      </c>
      <c r="I11" s="429">
        <f t="shared" si="4"/>
        <v>0</v>
      </c>
      <c r="J11" s="429">
        <f t="shared" si="4"/>
        <v>0</v>
      </c>
      <c r="K11" s="458" t="e">
        <f>K12+K27+K28+K33+K29+K32</f>
        <v>#REF!</v>
      </c>
      <c r="L11" s="458">
        <f>M11+N11</f>
        <v>1306383</v>
      </c>
      <c r="M11" s="458">
        <f>M12+M27+M28+M33+M29+M32</f>
        <v>84000</v>
      </c>
      <c r="N11" s="458">
        <f>N12+N27+N28+N33+N29+N32</f>
        <v>1222383</v>
      </c>
      <c r="O11" s="458">
        <f>P11+Q11</f>
        <v>896980</v>
      </c>
      <c r="P11" s="458">
        <f>P12+P27+P28+P33+P29+P32</f>
        <v>84000</v>
      </c>
      <c r="Q11" s="458">
        <f>Q12+Q27+Q28+Q33+Q29+Q32</f>
        <v>812980</v>
      </c>
      <c r="R11" s="458">
        <f>R12+R27+R28+R33+R29+R32</f>
        <v>409403</v>
      </c>
      <c r="S11" s="458">
        <f>S12+S27+S28+S33+S29+S32</f>
        <v>0</v>
      </c>
      <c r="T11" s="458">
        <f>T12+T27+T28+T33+T29+T32</f>
        <v>409403</v>
      </c>
      <c r="U11" s="458">
        <f>V11+W11</f>
        <v>863000</v>
      </c>
      <c r="V11" s="458">
        <f>V12+V27+V28+V33+V29+V32</f>
        <v>830000</v>
      </c>
      <c r="W11" s="458">
        <f>W12+W27+W28+W33+W29+W32</f>
        <v>33000</v>
      </c>
      <c r="X11" s="522" t="e">
        <f>X12+X27+X28+X33+X29+X32</f>
        <v>#REF!</v>
      </c>
      <c r="Y11" s="458">
        <f t="shared" ref="Y11:Y74" si="7">Z11+AA11+AB11</f>
        <v>0</v>
      </c>
      <c r="Z11" s="458">
        <f>Z12+Z27+Z28+Z33+Z29+Z32</f>
        <v>0</v>
      </c>
      <c r="AA11" s="458"/>
      <c r="AB11" s="458">
        <f>AB12+AB27+AB28+AB33+AB29+AB32</f>
        <v>0</v>
      </c>
      <c r="AC11" s="458">
        <f t="shared" ref="AC11:AC74" si="8">AD11+AE11+AF11</f>
        <v>0</v>
      </c>
      <c r="AD11" s="458">
        <f>AD12+AD27+AD28+AD33+AD29+AD32</f>
        <v>0</v>
      </c>
      <c r="AE11" s="458"/>
      <c r="AF11" s="458">
        <f>AF12+AF27+AF28+AF33+AF29+AF32</f>
        <v>0</v>
      </c>
      <c r="AG11" s="513">
        <f t="shared" ref="AG11:AG74" si="9">O11+U11</f>
        <v>1759980</v>
      </c>
      <c r="AH11" s="512"/>
      <c r="AI11" s="512"/>
      <c r="AJ11" s="512"/>
      <c r="AK11" s="512"/>
      <c r="AL11" s="515">
        <f>U10-U190-U192</f>
        <v>7271021</v>
      </c>
      <c r="AM11" s="515"/>
      <c r="AN11" s="512"/>
      <c r="AO11" s="449"/>
      <c r="AP11" s="471">
        <f>K9-I9</f>
        <v>0</v>
      </c>
      <c r="AQ11" s="471"/>
      <c r="AV11" s="427"/>
    </row>
    <row r="12" spans="1:48">
      <c r="A12" s="431">
        <v>1</v>
      </c>
      <c r="B12" s="473" t="s">
        <v>410</v>
      </c>
      <c r="C12" s="545">
        <f t="shared" si="3"/>
        <v>0</v>
      </c>
      <c r="D12" s="473">
        <f>D13+D14+D15+D16+D17</f>
        <v>0</v>
      </c>
      <c r="E12" s="473">
        <f t="shared" ref="E12:J12" si="10">E13+E14+E15+E16+E17</f>
        <v>0</v>
      </c>
      <c r="F12" s="473">
        <f t="shared" si="10"/>
        <v>0</v>
      </c>
      <c r="G12" s="473">
        <f t="shared" ref="G12" si="11">G13+G14+G15+G16+G17</f>
        <v>0</v>
      </c>
      <c r="H12" s="473">
        <f t="shared" ref="H12" si="12">H13+H14+H15+H16+H17</f>
        <v>0</v>
      </c>
      <c r="I12" s="473">
        <f t="shared" si="10"/>
        <v>0</v>
      </c>
      <c r="J12" s="473">
        <f t="shared" si="10"/>
        <v>0</v>
      </c>
      <c r="K12" s="461" t="e">
        <f>SUM(K13:K17)</f>
        <v>#REF!</v>
      </c>
      <c r="L12" s="461">
        <f>M12+N12</f>
        <v>874083</v>
      </c>
      <c r="M12" s="461">
        <f>SUM(M13:M17)</f>
        <v>4000</v>
      </c>
      <c r="N12" s="461">
        <f>SUM(N13:N17)</f>
        <v>870083</v>
      </c>
      <c r="O12" s="461">
        <f>P12+Q12</f>
        <v>464680</v>
      </c>
      <c r="P12" s="461">
        <f>SUM(P13:P17)</f>
        <v>4000</v>
      </c>
      <c r="Q12" s="461">
        <f>SUM(Q13:Q17)</f>
        <v>460680</v>
      </c>
      <c r="R12" s="461">
        <f>SUM(R13:R17)</f>
        <v>409403</v>
      </c>
      <c r="S12" s="461">
        <f>SUM(S13:S17)</f>
        <v>0</v>
      </c>
      <c r="T12" s="461">
        <f>SUM(T13:T17)</f>
        <v>409403</v>
      </c>
      <c r="U12" s="461">
        <f t="shared" ref="U12:U33" si="13">V12+W12</f>
        <v>363000</v>
      </c>
      <c r="V12" s="461">
        <f>SUM(V13:V17)</f>
        <v>330000</v>
      </c>
      <c r="W12" s="461">
        <f>SUM(W13:W17)</f>
        <v>33000</v>
      </c>
      <c r="X12" s="523" t="e">
        <f>SUM(X13:X17)</f>
        <v>#REF!</v>
      </c>
      <c r="Y12" s="461">
        <f t="shared" si="7"/>
        <v>0</v>
      </c>
      <c r="Z12" s="461">
        <f>SUM(Z13:Z17)</f>
        <v>0</v>
      </c>
      <c r="AA12" s="461"/>
      <c r="AB12" s="461">
        <f>SUM(AB13:AB17)</f>
        <v>0</v>
      </c>
      <c r="AC12" s="461">
        <f t="shared" si="8"/>
        <v>0</v>
      </c>
      <c r="AD12" s="461">
        <f>SUM(AD13:AD17)</f>
        <v>0</v>
      </c>
      <c r="AE12" s="461"/>
      <c r="AF12" s="461">
        <f>SUM(AF13:AF17)</f>
        <v>0</v>
      </c>
      <c r="AG12" s="513">
        <f t="shared" si="9"/>
        <v>827680</v>
      </c>
      <c r="AH12" s="513"/>
      <c r="AI12" s="513"/>
      <c r="AJ12" s="513"/>
      <c r="AK12" s="513"/>
      <c r="AL12" s="514">
        <f>SUM(AL13:AL191)</f>
        <v>9456631</v>
      </c>
      <c r="AM12" s="514" t="e">
        <f>SUM(AM13:AM191)</f>
        <v>#REF!</v>
      </c>
      <c r="AN12" s="514" t="e">
        <f>SUM(AN13:AN191)</f>
        <v>#REF!</v>
      </c>
      <c r="AO12" s="451"/>
      <c r="AP12" s="471"/>
      <c r="AQ12" s="471"/>
      <c r="AR12" s="440" t="e">
        <f>O10+U10+X10-U192-R192</f>
        <v>#REF!</v>
      </c>
      <c r="AV12" s="427"/>
    </row>
    <row r="13" spans="1:48" ht="20.25" customHeight="1">
      <c r="A13" s="431" t="s">
        <v>45</v>
      </c>
      <c r="B13" s="473" t="s">
        <v>409</v>
      </c>
      <c r="C13" s="545">
        <f t="shared" si="3"/>
        <v>0</v>
      </c>
      <c r="D13" s="473"/>
      <c r="E13" s="473"/>
      <c r="F13" s="473"/>
      <c r="G13" s="473"/>
      <c r="H13" s="473"/>
      <c r="I13" s="473"/>
      <c r="J13" s="473"/>
      <c r="K13" s="461" t="e">
        <f>L13+U13+X13</f>
        <v>#REF!</v>
      </c>
      <c r="L13" s="461">
        <f>M13+N13</f>
        <v>506860</v>
      </c>
      <c r="M13" s="461">
        <f t="shared" ref="M13:N16" si="14">P13+S13</f>
        <v>0</v>
      </c>
      <c r="N13" s="461">
        <f>Q13+T13</f>
        <v>506860</v>
      </c>
      <c r="O13" s="461">
        <f>P13+Q13</f>
        <v>460680</v>
      </c>
      <c r="P13" s="461"/>
      <c r="Q13" s="461">
        <f>790680-V13</f>
        <v>460680</v>
      </c>
      <c r="R13" s="459">
        <f>S13+T13</f>
        <v>46180</v>
      </c>
      <c r="S13" s="461"/>
      <c r="T13" s="461">
        <v>46180</v>
      </c>
      <c r="U13" s="461">
        <f t="shared" si="13"/>
        <v>363000</v>
      </c>
      <c r="V13" s="461">
        <f>330000</f>
        <v>330000</v>
      </c>
      <c r="W13" s="461">
        <v>33000</v>
      </c>
      <c r="X13" s="523" t="e">
        <f>'Bieu 17'!#REF!</f>
        <v>#REF!</v>
      </c>
      <c r="Y13" s="459">
        <f t="shared" si="7"/>
        <v>0</v>
      </c>
      <c r="Z13" s="461"/>
      <c r="AA13" s="461"/>
      <c r="AB13" s="461"/>
      <c r="AC13" s="459">
        <f t="shared" si="8"/>
        <v>0</v>
      </c>
      <c r="AD13" s="461"/>
      <c r="AE13" s="461"/>
      <c r="AF13" s="461"/>
      <c r="AG13" s="513">
        <f t="shared" si="9"/>
        <v>823680</v>
      </c>
      <c r="AH13" s="513"/>
      <c r="AI13" s="513"/>
      <c r="AJ13" s="513"/>
      <c r="AK13" s="513"/>
      <c r="AL13" s="514">
        <f>V13</f>
        <v>330000</v>
      </c>
      <c r="AM13" s="514" t="e">
        <f>X13</f>
        <v>#REF!</v>
      </c>
      <c r="AN13" s="513" t="e">
        <f>AB13+AL13+AM13</f>
        <v>#REF!</v>
      </c>
      <c r="AO13" s="451">
        <f>U9-V192</f>
        <v>0</v>
      </c>
      <c r="AP13" s="471"/>
      <c r="AQ13" s="471"/>
      <c r="AS13" s="440">
        <f>X9+U34+O34+O32+O22+200000</f>
        <v>9396447</v>
      </c>
      <c r="AV13" s="427"/>
    </row>
    <row r="14" spans="1:48" ht="20.25" customHeight="1">
      <c r="A14" s="431" t="s">
        <v>56</v>
      </c>
      <c r="B14" s="473" t="s">
        <v>411</v>
      </c>
      <c r="C14" s="545">
        <f t="shared" si="3"/>
        <v>0</v>
      </c>
      <c r="D14" s="473"/>
      <c r="E14" s="473"/>
      <c r="F14" s="473"/>
      <c r="G14" s="473"/>
      <c r="H14" s="473"/>
      <c r="I14" s="473"/>
      <c r="J14" s="473"/>
      <c r="K14" s="461">
        <f>L14+U14+X14</f>
        <v>489799</v>
      </c>
      <c r="L14" s="461">
        <f t="shared" ref="L14:L78" si="15">M14+N14</f>
        <v>0</v>
      </c>
      <c r="M14" s="461">
        <f t="shared" si="14"/>
        <v>0</v>
      </c>
      <c r="N14" s="461">
        <f t="shared" si="14"/>
        <v>0</v>
      </c>
      <c r="O14" s="461">
        <f t="shared" ref="O14:O33" si="16">P14+Q14</f>
        <v>0</v>
      </c>
      <c r="P14" s="461"/>
      <c r="Q14" s="461"/>
      <c r="R14" s="459">
        <f>S14+T14</f>
        <v>0</v>
      </c>
      <c r="S14" s="461"/>
      <c r="T14" s="461"/>
      <c r="U14" s="461">
        <f t="shared" si="13"/>
        <v>0</v>
      </c>
      <c r="V14" s="461"/>
      <c r="W14" s="461"/>
      <c r="X14" s="526">
        <v>489799</v>
      </c>
      <c r="Y14" s="459">
        <f t="shared" si="7"/>
        <v>0</v>
      </c>
      <c r="Z14" s="461"/>
      <c r="AA14" s="461"/>
      <c r="AB14" s="461"/>
      <c r="AC14" s="459">
        <f t="shared" si="8"/>
        <v>0</v>
      </c>
      <c r="AD14" s="461"/>
      <c r="AE14" s="461"/>
      <c r="AF14" s="461"/>
      <c r="AG14" s="513">
        <f t="shared" si="9"/>
        <v>0</v>
      </c>
      <c r="AH14" s="513"/>
      <c r="AI14" s="513"/>
      <c r="AJ14" s="513"/>
      <c r="AK14" s="513"/>
      <c r="AL14" s="514">
        <f t="shared" ref="AL14:AL33" si="17">V14</f>
        <v>0</v>
      </c>
      <c r="AM14" s="514">
        <f t="shared" ref="AM14:AM34" si="18">X14</f>
        <v>489799</v>
      </c>
      <c r="AN14" s="513">
        <f t="shared" ref="AN14:AN33" si="19">AB14+AL14+AM14</f>
        <v>489799</v>
      </c>
      <c r="AO14" s="451"/>
      <c r="AP14" s="471"/>
      <c r="AQ14" s="471"/>
      <c r="AS14" s="440">
        <f>U13+O13+O27+U27+O28+O171+O172+O187+O191-200000</f>
        <v>1807211</v>
      </c>
      <c r="AV14" s="427"/>
    </row>
    <row r="15" spans="1:48" ht="20.25" customHeight="1">
      <c r="A15" s="431" t="s">
        <v>59</v>
      </c>
      <c r="B15" s="473" t="s">
        <v>412</v>
      </c>
      <c r="C15" s="545">
        <f t="shared" si="3"/>
        <v>0</v>
      </c>
      <c r="D15" s="473"/>
      <c r="E15" s="473"/>
      <c r="F15" s="473"/>
      <c r="G15" s="473"/>
      <c r="H15" s="473"/>
      <c r="I15" s="473"/>
      <c r="J15" s="473"/>
      <c r="K15" s="461">
        <f>L15+U15+X15</f>
        <v>369954</v>
      </c>
      <c r="L15" s="461">
        <f t="shared" si="15"/>
        <v>0</v>
      </c>
      <c r="M15" s="461">
        <f t="shared" si="14"/>
        <v>0</v>
      </c>
      <c r="N15" s="461">
        <f>Q15+T15</f>
        <v>0</v>
      </c>
      <c r="O15" s="461">
        <f>P15+Q15</f>
        <v>0</v>
      </c>
      <c r="P15" s="461"/>
      <c r="Q15" s="461"/>
      <c r="R15" s="459">
        <f>S15+T15</f>
        <v>0</v>
      </c>
      <c r="S15" s="461"/>
      <c r="T15" s="461"/>
      <c r="U15" s="461">
        <f t="shared" si="13"/>
        <v>0</v>
      </c>
      <c r="V15" s="461"/>
      <c r="W15" s="461"/>
      <c r="X15" s="526">
        <f>192854+177100</f>
        <v>369954</v>
      </c>
      <c r="Y15" s="459">
        <f t="shared" si="7"/>
        <v>0</v>
      </c>
      <c r="Z15" s="461"/>
      <c r="AA15" s="461"/>
      <c r="AB15" s="461"/>
      <c r="AC15" s="459">
        <f t="shared" si="8"/>
        <v>0</v>
      </c>
      <c r="AD15" s="461"/>
      <c r="AE15" s="461"/>
      <c r="AF15" s="461"/>
      <c r="AG15" s="513">
        <f t="shared" si="9"/>
        <v>0</v>
      </c>
      <c r="AH15" s="513"/>
      <c r="AI15" s="513"/>
      <c r="AJ15" s="513"/>
      <c r="AK15" s="513"/>
      <c r="AL15" s="514">
        <f t="shared" si="17"/>
        <v>0</v>
      </c>
      <c r="AM15" s="514">
        <f t="shared" si="18"/>
        <v>369954</v>
      </c>
      <c r="AN15" s="513">
        <f t="shared" si="19"/>
        <v>369954</v>
      </c>
      <c r="AO15" s="451"/>
      <c r="AP15" s="471"/>
      <c r="AQ15" s="471"/>
      <c r="AS15" s="440">
        <f>AS13+AS14</f>
        <v>11203658</v>
      </c>
      <c r="AV15" s="427"/>
    </row>
    <row r="16" spans="1:48" ht="31.5">
      <c r="A16" s="431" t="s">
        <v>413</v>
      </c>
      <c r="B16" s="473" t="s">
        <v>478</v>
      </c>
      <c r="C16" s="545">
        <f t="shared" si="3"/>
        <v>0</v>
      </c>
      <c r="D16" s="473"/>
      <c r="E16" s="473"/>
      <c r="F16" s="473"/>
      <c r="G16" s="473"/>
      <c r="H16" s="473"/>
      <c r="I16" s="473"/>
      <c r="J16" s="473"/>
      <c r="K16" s="461">
        <f>L16+U16+X16</f>
        <v>1335378</v>
      </c>
      <c r="L16" s="461">
        <f t="shared" si="15"/>
        <v>0</v>
      </c>
      <c r="M16" s="461">
        <f t="shared" si="14"/>
        <v>0</v>
      </c>
      <c r="N16" s="461">
        <f>Q16+T16</f>
        <v>0</v>
      </c>
      <c r="O16" s="461">
        <f>P16+Q16</f>
        <v>0</v>
      </c>
      <c r="P16" s="461"/>
      <c r="Q16" s="461"/>
      <c r="R16" s="459">
        <f>S16+T16</f>
        <v>0</v>
      </c>
      <c r="S16" s="461"/>
      <c r="T16" s="461"/>
      <c r="U16" s="461">
        <f t="shared" si="13"/>
        <v>0</v>
      </c>
      <c r="V16" s="461"/>
      <c r="W16" s="461"/>
      <c r="X16" s="526">
        <f>972378+363000</f>
        <v>1335378</v>
      </c>
      <c r="Y16" s="459">
        <f t="shared" si="7"/>
        <v>0</v>
      </c>
      <c r="Z16" s="461"/>
      <c r="AA16" s="461"/>
      <c r="AB16" s="461"/>
      <c r="AC16" s="459">
        <f t="shared" si="8"/>
        <v>0</v>
      </c>
      <c r="AD16" s="461"/>
      <c r="AE16" s="461"/>
      <c r="AF16" s="461"/>
      <c r="AG16" s="513">
        <f t="shared" si="9"/>
        <v>0</v>
      </c>
      <c r="AH16" s="513"/>
      <c r="AI16" s="513"/>
      <c r="AJ16" s="513"/>
      <c r="AK16" s="513"/>
      <c r="AL16" s="514">
        <f t="shared" si="17"/>
        <v>0</v>
      </c>
      <c r="AM16" s="514">
        <f t="shared" si="18"/>
        <v>1335378</v>
      </c>
      <c r="AN16" s="513">
        <f t="shared" si="19"/>
        <v>1335378</v>
      </c>
      <c r="AO16" s="451"/>
      <c r="AP16" s="471"/>
      <c r="AQ16" s="471"/>
      <c r="AV16" s="427"/>
    </row>
    <row r="17" spans="1:48" ht="20.25" customHeight="1">
      <c r="A17" s="431" t="s">
        <v>414</v>
      </c>
      <c r="B17" s="473" t="s">
        <v>415</v>
      </c>
      <c r="C17" s="545">
        <f t="shared" si="3"/>
        <v>0</v>
      </c>
      <c r="D17" s="473"/>
      <c r="E17" s="473"/>
      <c r="F17" s="473"/>
      <c r="G17" s="473"/>
      <c r="H17" s="473"/>
      <c r="I17" s="473"/>
      <c r="J17" s="473"/>
      <c r="K17" s="461" t="e">
        <f>K18+K22+K23+K26</f>
        <v>#REF!</v>
      </c>
      <c r="L17" s="461">
        <f t="shared" ref="L17:V17" si="20">L18+L22+L23+L26</f>
        <v>367223</v>
      </c>
      <c r="M17" s="461">
        <f t="shared" si="20"/>
        <v>4000</v>
      </c>
      <c r="N17" s="461">
        <f>N18+N22+N23+N26</f>
        <v>363223</v>
      </c>
      <c r="O17" s="461">
        <f t="shared" si="20"/>
        <v>4000</v>
      </c>
      <c r="P17" s="461">
        <f t="shared" si="20"/>
        <v>4000</v>
      </c>
      <c r="Q17" s="461">
        <f t="shared" si="20"/>
        <v>0</v>
      </c>
      <c r="R17" s="461">
        <f t="shared" si="20"/>
        <v>363223</v>
      </c>
      <c r="S17" s="461">
        <f t="shared" si="20"/>
        <v>0</v>
      </c>
      <c r="T17" s="461">
        <f>T18+T22+T23+T26</f>
        <v>363223</v>
      </c>
      <c r="U17" s="461">
        <f t="shared" si="20"/>
        <v>0</v>
      </c>
      <c r="V17" s="461">
        <f t="shared" si="20"/>
        <v>0</v>
      </c>
      <c r="W17" s="461">
        <f>W18+W22+W23+W26</f>
        <v>0</v>
      </c>
      <c r="X17" s="526" t="e">
        <f>X18+X22+X23</f>
        <v>#REF!</v>
      </c>
      <c r="Y17" s="461">
        <f t="shared" si="7"/>
        <v>0</v>
      </c>
      <c r="Z17" s="461">
        <f t="shared" ref="Z17" si="21">Z18+Z22+Z23+Z26</f>
        <v>0</v>
      </c>
      <c r="AA17" s="461"/>
      <c r="AB17" s="461">
        <f>AB18+AB22+AB23+AB26</f>
        <v>0</v>
      </c>
      <c r="AC17" s="461">
        <f t="shared" si="8"/>
        <v>0</v>
      </c>
      <c r="AD17" s="461">
        <f t="shared" ref="AD17" si="22">AD18+AD22+AD23+AD26</f>
        <v>0</v>
      </c>
      <c r="AE17" s="461"/>
      <c r="AF17" s="461">
        <f>AF18+AF22+AF23+AF26</f>
        <v>0</v>
      </c>
      <c r="AG17" s="513">
        <f t="shared" si="9"/>
        <v>4000</v>
      </c>
      <c r="AH17" s="513"/>
      <c r="AI17" s="513"/>
      <c r="AJ17" s="513"/>
      <c r="AK17" s="513"/>
      <c r="AL17" s="514">
        <f t="shared" si="17"/>
        <v>0</v>
      </c>
      <c r="AM17" s="514" t="e">
        <f t="shared" si="18"/>
        <v>#REF!</v>
      </c>
      <c r="AN17" s="513" t="e">
        <f t="shared" si="19"/>
        <v>#REF!</v>
      </c>
      <c r="AO17" s="451"/>
      <c r="AP17" s="471"/>
      <c r="AQ17" s="471"/>
      <c r="AV17" s="427"/>
    </row>
    <row r="18" spans="1:48" ht="20.25" customHeight="1">
      <c r="A18" s="431" t="s">
        <v>24</v>
      </c>
      <c r="B18" s="473" t="s">
        <v>496</v>
      </c>
      <c r="C18" s="545">
        <f t="shared" si="3"/>
        <v>0</v>
      </c>
      <c r="D18" s="473"/>
      <c r="E18" s="473"/>
      <c r="F18" s="473"/>
      <c r="G18" s="473"/>
      <c r="H18" s="473"/>
      <c r="I18" s="473"/>
      <c r="J18" s="473"/>
      <c r="K18" s="461" t="e">
        <f>L18+U18+X18</f>
        <v>#REF!</v>
      </c>
      <c r="L18" s="461">
        <f>M18+N18</f>
        <v>0</v>
      </c>
      <c r="M18" s="461">
        <f>SUM(M19:M21)</f>
        <v>0</v>
      </c>
      <c r="N18" s="461">
        <f>SUM(N19:N21)</f>
        <v>0</v>
      </c>
      <c r="O18" s="461">
        <f t="shared" si="16"/>
        <v>0</v>
      </c>
      <c r="P18" s="461"/>
      <c r="Q18" s="461">
        <f>SUM(Q19:Q21)</f>
        <v>0</v>
      </c>
      <c r="R18" s="461">
        <f>SUM(R19:R21)</f>
        <v>0</v>
      </c>
      <c r="S18" s="461">
        <f>SUM(S19:S21)</f>
        <v>0</v>
      </c>
      <c r="T18" s="461">
        <f>SUM(T19:T21)</f>
        <v>0</v>
      </c>
      <c r="U18" s="461">
        <f t="shared" si="13"/>
        <v>0</v>
      </c>
      <c r="V18" s="461">
        <f>SUM(V19:V21)</f>
        <v>0</v>
      </c>
      <c r="W18" s="461">
        <f>SUM(W19:W21)</f>
        <v>0</v>
      </c>
      <c r="X18" s="526" t="e">
        <f>'Bieu 17'!#REF!</f>
        <v>#REF!</v>
      </c>
      <c r="Y18" s="461">
        <f t="shared" si="7"/>
        <v>0</v>
      </c>
      <c r="Z18" s="461">
        <f>SUM(Z19:Z21)</f>
        <v>0</v>
      </c>
      <c r="AA18" s="461"/>
      <c r="AB18" s="461">
        <f>SUM(AB19:AB21)</f>
        <v>0</v>
      </c>
      <c r="AC18" s="461">
        <f t="shared" si="8"/>
        <v>0</v>
      </c>
      <c r="AD18" s="461">
        <f>SUM(AD19:AD21)</f>
        <v>0</v>
      </c>
      <c r="AE18" s="461"/>
      <c r="AF18" s="461">
        <f>SUM(AF19:AF21)</f>
        <v>0</v>
      </c>
      <c r="AG18" s="513">
        <f t="shared" si="9"/>
        <v>0</v>
      </c>
      <c r="AH18" s="513"/>
      <c r="AI18" s="513"/>
      <c r="AJ18" s="513"/>
      <c r="AK18" s="513"/>
      <c r="AL18" s="514">
        <f t="shared" si="17"/>
        <v>0</v>
      </c>
      <c r="AM18" s="514" t="e">
        <f t="shared" si="18"/>
        <v>#REF!</v>
      </c>
      <c r="AN18" s="513" t="e">
        <f t="shared" si="19"/>
        <v>#REF!</v>
      </c>
      <c r="AO18" s="451"/>
      <c r="AP18" s="471"/>
      <c r="AQ18" s="471"/>
      <c r="AV18" s="427"/>
    </row>
    <row r="19" spans="1:48" s="424" customFormat="1" ht="20.25" customHeight="1">
      <c r="A19" s="432"/>
      <c r="B19" s="474" t="s">
        <v>427</v>
      </c>
      <c r="C19" s="545">
        <f t="shared" si="3"/>
        <v>0</v>
      </c>
      <c r="D19" s="474"/>
      <c r="E19" s="474"/>
      <c r="F19" s="474"/>
      <c r="G19" s="474"/>
      <c r="H19" s="474"/>
      <c r="I19" s="474"/>
      <c r="J19" s="474"/>
      <c r="K19" s="459" t="e">
        <f t="shared" ref="K19:K75" si="23">L19+U19+X19</f>
        <v>#REF!</v>
      </c>
      <c r="L19" s="461">
        <f t="shared" si="15"/>
        <v>0</v>
      </c>
      <c r="M19" s="461">
        <f t="shared" ref="M19:N22" si="24">P19+S19</f>
        <v>0</v>
      </c>
      <c r="N19" s="461">
        <f t="shared" si="24"/>
        <v>0</v>
      </c>
      <c r="O19" s="459">
        <f t="shared" si="16"/>
        <v>0</v>
      </c>
      <c r="P19" s="459"/>
      <c r="Q19" s="459"/>
      <c r="R19" s="459">
        <f>S19+T19</f>
        <v>0</v>
      </c>
      <c r="S19" s="459"/>
      <c r="T19" s="459"/>
      <c r="U19" s="459">
        <f t="shared" si="13"/>
        <v>0</v>
      </c>
      <c r="V19" s="459"/>
      <c r="W19" s="459"/>
      <c r="X19" s="525" t="e">
        <f>'Bieu 17'!#REF!</f>
        <v>#REF!</v>
      </c>
      <c r="Y19" s="459">
        <f t="shared" si="7"/>
        <v>0</v>
      </c>
      <c r="Z19" s="459"/>
      <c r="AA19" s="459"/>
      <c r="AB19" s="459"/>
      <c r="AC19" s="459">
        <f t="shared" si="8"/>
        <v>0</v>
      </c>
      <c r="AD19" s="459"/>
      <c r="AE19" s="459"/>
      <c r="AF19" s="459"/>
      <c r="AG19" s="513">
        <f t="shared" si="9"/>
        <v>0</v>
      </c>
      <c r="AH19" s="520"/>
      <c r="AI19" s="520"/>
      <c r="AJ19" s="520"/>
      <c r="AK19" s="520"/>
      <c r="AL19" s="514">
        <f t="shared" si="17"/>
        <v>0</v>
      </c>
      <c r="AM19" s="514" t="e">
        <f t="shared" si="18"/>
        <v>#REF!</v>
      </c>
      <c r="AN19" s="513" t="e">
        <f t="shared" si="19"/>
        <v>#REF!</v>
      </c>
      <c r="AO19" s="450"/>
      <c r="AP19" s="475"/>
      <c r="AQ19" s="475"/>
      <c r="AR19" s="442"/>
      <c r="AS19" s="442"/>
      <c r="AT19" s="442"/>
      <c r="AU19" s="446"/>
      <c r="AV19" s="476"/>
    </row>
    <row r="20" spans="1:48" s="424" customFormat="1" ht="20.25" customHeight="1">
      <c r="A20" s="432"/>
      <c r="B20" s="474" t="s">
        <v>428</v>
      </c>
      <c r="C20" s="545">
        <f t="shared" si="3"/>
        <v>0</v>
      </c>
      <c r="D20" s="474"/>
      <c r="E20" s="474"/>
      <c r="F20" s="474"/>
      <c r="G20" s="474"/>
      <c r="H20" s="474"/>
      <c r="I20" s="474"/>
      <c r="J20" s="474"/>
      <c r="K20" s="459" t="e">
        <f t="shared" si="23"/>
        <v>#REF!</v>
      </c>
      <c r="L20" s="461">
        <f t="shared" si="15"/>
        <v>0</v>
      </c>
      <c r="M20" s="461">
        <f t="shared" si="24"/>
        <v>0</v>
      </c>
      <c r="N20" s="461">
        <f t="shared" si="24"/>
        <v>0</v>
      </c>
      <c r="O20" s="459">
        <f t="shared" si="16"/>
        <v>0</v>
      </c>
      <c r="P20" s="459"/>
      <c r="Q20" s="459"/>
      <c r="R20" s="459">
        <f>S20+T20</f>
        <v>0</v>
      </c>
      <c r="S20" s="459"/>
      <c r="T20" s="459"/>
      <c r="U20" s="459">
        <f t="shared" si="13"/>
        <v>0</v>
      </c>
      <c r="V20" s="459"/>
      <c r="W20" s="459"/>
      <c r="X20" s="525" t="e">
        <f>'Bieu 17'!#REF!</f>
        <v>#REF!</v>
      </c>
      <c r="Y20" s="459">
        <f t="shared" si="7"/>
        <v>0</v>
      </c>
      <c r="Z20" s="459"/>
      <c r="AA20" s="459"/>
      <c r="AB20" s="459"/>
      <c r="AC20" s="459">
        <f t="shared" si="8"/>
        <v>0</v>
      </c>
      <c r="AD20" s="459"/>
      <c r="AE20" s="459"/>
      <c r="AF20" s="459"/>
      <c r="AG20" s="513">
        <f t="shared" si="9"/>
        <v>0</v>
      </c>
      <c r="AH20" s="520"/>
      <c r="AI20" s="520"/>
      <c r="AJ20" s="520"/>
      <c r="AK20" s="520"/>
      <c r="AL20" s="514">
        <f t="shared" si="17"/>
        <v>0</v>
      </c>
      <c r="AM20" s="514" t="e">
        <f t="shared" si="18"/>
        <v>#REF!</v>
      </c>
      <c r="AN20" s="513" t="e">
        <f t="shared" si="19"/>
        <v>#REF!</v>
      </c>
      <c r="AO20" s="450"/>
      <c r="AP20" s="475"/>
      <c r="AQ20" s="475"/>
      <c r="AR20" s="442"/>
      <c r="AS20" s="442"/>
      <c r="AT20" s="442"/>
      <c r="AU20" s="446"/>
      <c r="AV20" s="476"/>
    </row>
    <row r="21" spans="1:48" s="424" customFormat="1" ht="20.25" customHeight="1">
      <c r="A21" s="432"/>
      <c r="B21" s="474" t="s">
        <v>429</v>
      </c>
      <c r="C21" s="545">
        <f t="shared" si="3"/>
        <v>0</v>
      </c>
      <c r="D21" s="474"/>
      <c r="E21" s="474"/>
      <c r="F21" s="474"/>
      <c r="G21" s="474"/>
      <c r="H21" s="474"/>
      <c r="I21" s="474"/>
      <c r="J21" s="474"/>
      <c r="K21" s="459" t="e">
        <f t="shared" si="23"/>
        <v>#REF!</v>
      </c>
      <c r="L21" s="461">
        <f t="shared" si="15"/>
        <v>0</v>
      </c>
      <c r="M21" s="461">
        <f t="shared" si="24"/>
        <v>0</v>
      </c>
      <c r="N21" s="461">
        <f t="shared" si="24"/>
        <v>0</v>
      </c>
      <c r="O21" s="459">
        <f t="shared" si="16"/>
        <v>0</v>
      </c>
      <c r="P21" s="459"/>
      <c r="Q21" s="459"/>
      <c r="R21" s="459">
        <f>S21+T21</f>
        <v>0</v>
      </c>
      <c r="S21" s="459"/>
      <c r="T21" s="459"/>
      <c r="U21" s="459">
        <f t="shared" si="13"/>
        <v>0</v>
      </c>
      <c r="V21" s="459"/>
      <c r="W21" s="459"/>
      <c r="X21" s="525" t="e">
        <f>'Bieu 17'!#REF!</f>
        <v>#REF!</v>
      </c>
      <c r="Y21" s="459">
        <f t="shared" si="7"/>
        <v>0</v>
      </c>
      <c r="Z21" s="459"/>
      <c r="AA21" s="459"/>
      <c r="AB21" s="459"/>
      <c r="AC21" s="459">
        <f t="shared" si="8"/>
        <v>0</v>
      </c>
      <c r="AD21" s="459"/>
      <c r="AE21" s="459"/>
      <c r="AF21" s="459"/>
      <c r="AG21" s="513">
        <f t="shared" si="9"/>
        <v>0</v>
      </c>
      <c r="AH21" s="520"/>
      <c r="AI21" s="520"/>
      <c r="AJ21" s="520"/>
      <c r="AK21" s="520"/>
      <c r="AL21" s="514">
        <f t="shared" si="17"/>
        <v>0</v>
      </c>
      <c r="AM21" s="514" t="e">
        <f t="shared" si="18"/>
        <v>#REF!</v>
      </c>
      <c r="AN21" s="513" t="e">
        <f t="shared" si="19"/>
        <v>#REF!</v>
      </c>
      <c r="AO21" s="450"/>
      <c r="AP21" s="475"/>
      <c r="AQ21" s="475"/>
      <c r="AR21" s="442"/>
      <c r="AS21" s="442"/>
      <c r="AT21" s="442"/>
      <c r="AU21" s="446"/>
      <c r="AV21" s="476"/>
    </row>
    <row r="22" spans="1:48">
      <c r="A22" s="431" t="s">
        <v>25</v>
      </c>
      <c r="B22" s="473" t="s">
        <v>497</v>
      </c>
      <c r="C22" s="545">
        <f t="shared" si="3"/>
        <v>0</v>
      </c>
      <c r="D22" s="473"/>
      <c r="E22" s="473"/>
      <c r="F22" s="473"/>
      <c r="G22" s="473"/>
      <c r="H22" s="473"/>
      <c r="I22" s="473"/>
      <c r="J22" s="473"/>
      <c r="K22" s="461" t="e">
        <f t="shared" si="23"/>
        <v>#REF!</v>
      </c>
      <c r="L22" s="461">
        <f>M22+N22</f>
        <v>4000</v>
      </c>
      <c r="M22" s="461">
        <f t="shared" si="24"/>
        <v>4000</v>
      </c>
      <c r="N22" s="461">
        <f t="shared" si="24"/>
        <v>0</v>
      </c>
      <c r="O22" s="461">
        <f t="shared" si="16"/>
        <v>4000</v>
      </c>
      <c r="P22" s="461">
        <f>10300-6300</f>
        <v>4000</v>
      </c>
      <c r="Q22" s="461"/>
      <c r="R22" s="459">
        <f>S22+T22</f>
        <v>0</v>
      </c>
      <c r="S22" s="461"/>
      <c r="T22" s="461"/>
      <c r="U22" s="461">
        <f t="shared" si="13"/>
        <v>0</v>
      </c>
      <c r="V22" s="461"/>
      <c r="W22" s="461"/>
      <c r="X22" s="526" t="e">
        <f>'Bieu 17'!#REF!</f>
        <v>#REF!</v>
      </c>
      <c r="Y22" s="459">
        <f t="shared" si="7"/>
        <v>0</v>
      </c>
      <c r="Z22" s="461"/>
      <c r="AA22" s="461"/>
      <c r="AB22" s="461"/>
      <c r="AC22" s="459">
        <f t="shared" si="8"/>
        <v>0</v>
      </c>
      <c r="AD22" s="461"/>
      <c r="AE22" s="461"/>
      <c r="AF22" s="461"/>
      <c r="AG22" s="513">
        <f t="shared" si="9"/>
        <v>4000</v>
      </c>
      <c r="AH22" s="513"/>
      <c r="AI22" s="513"/>
      <c r="AJ22" s="513"/>
      <c r="AK22" s="513"/>
      <c r="AL22" s="514">
        <f t="shared" si="17"/>
        <v>0</v>
      </c>
      <c r="AM22" s="514" t="e">
        <f t="shared" si="18"/>
        <v>#REF!</v>
      </c>
      <c r="AN22" s="513" t="e">
        <f t="shared" si="19"/>
        <v>#REF!</v>
      </c>
      <c r="AO22" s="451"/>
      <c r="AP22" s="471"/>
      <c r="AQ22" s="471"/>
      <c r="AV22" s="427"/>
    </row>
    <row r="23" spans="1:48" ht="31.5">
      <c r="A23" s="431" t="s">
        <v>55</v>
      </c>
      <c r="B23" s="473" t="s">
        <v>464</v>
      </c>
      <c r="C23" s="545">
        <f t="shared" si="3"/>
        <v>0</v>
      </c>
      <c r="D23" s="473"/>
      <c r="E23" s="473"/>
      <c r="F23" s="473"/>
      <c r="G23" s="473"/>
      <c r="H23" s="473"/>
      <c r="I23" s="473"/>
      <c r="J23" s="473"/>
      <c r="K23" s="461">
        <f>K24+K25</f>
        <v>0</v>
      </c>
      <c r="L23" s="461">
        <f>L24+L25</f>
        <v>0</v>
      </c>
      <c r="M23" s="461">
        <f t="shared" ref="M23:W23" si="25">M24+M25</f>
        <v>0</v>
      </c>
      <c r="N23" s="461">
        <f>N24+N25</f>
        <v>0</v>
      </c>
      <c r="O23" s="461">
        <f t="shared" si="25"/>
        <v>0</v>
      </c>
      <c r="P23" s="461">
        <f t="shared" si="25"/>
        <v>0</v>
      </c>
      <c r="Q23" s="461">
        <f t="shared" si="25"/>
        <v>0</v>
      </c>
      <c r="R23" s="461">
        <f>R24+R25</f>
        <v>0</v>
      </c>
      <c r="S23" s="461">
        <f>S24+S25</f>
        <v>0</v>
      </c>
      <c r="T23" s="461">
        <f>T24+T25</f>
        <v>0</v>
      </c>
      <c r="U23" s="461">
        <f t="shared" si="25"/>
        <v>0</v>
      </c>
      <c r="V23" s="461">
        <f t="shared" si="25"/>
        <v>0</v>
      </c>
      <c r="W23" s="461">
        <f t="shared" si="25"/>
        <v>0</v>
      </c>
      <c r="X23" s="523">
        <f>X24+X25</f>
        <v>0</v>
      </c>
      <c r="Y23" s="461">
        <f t="shared" si="7"/>
        <v>0</v>
      </c>
      <c r="Z23" s="461">
        <f>Z24+Z25</f>
        <v>0</v>
      </c>
      <c r="AA23" s="461"/>
      <c r="AB23" s="461">
        <f>AB24+AB25</f>
        <v>0</v>
      </c>
      <c r="AC23" s="461">
        <f t="shared" si="8"/>
        <v>0</v>
      </c>
      <c r="AD23" s="461">
        <f>AD24+AD25</f>
        <v>0</v>
      </c>
      <c r="AE23" s="461"/>
      <c r="AF23" s="461">
        <f>AF24+AF25</f>
        <v>0</v>
      </c>
      <c r="AG23" s="513">
        <f t="shared" si="9"/>
        <v>0</v>
      </c>
      <c r="AH23" s="513"/>
      <c r="AI23" s="513"/>
      <c r="AJ23" s="513"/>
      <c r="AK23" s="513"/>
      <c r="AL23" s="514">
        <f t="shared" si="17"/>
        <v>0</v>
      </c>
      <c r="AM23" s="514">
        <f t="shared" si="18"/>
        <v>0</v>
      </c>
      <c r="AN23" s="513">
        <f t="shared" si="19"/>
        <v>0</v>
      </c>
      <c r="AO23" s="451"/>
      <c r="AP23" s="471"/>
      <c r="AQ23" s="471"/>
      <c r="AV23" s="427"/>
    </row>
    <row r="24" spans="1:48" s="424" customFormat="1" ht="63">
      <c r="A24" s="432"/>
      <c r="B24" s="474" t="s">
        <v>467</v>
      </c>
      <c r="C24" s="545">
        <f t="shared" si="3"/>
        <v>0</v>
      </c>
      <c r="D24" s="474"/>
      <c r="E24" s="474"/>
      <c r="F24" s="474"/>
      <c r="G24" s="474"/>
      <c r="H24" s="474"/>
      <c r="I24" s="474"/>
      <c r="J24" s="474"/>
      <c r="K24" s="459">
        <f t="shared" si="23"/>
        <v>0</v>
      </c>
      <c r="L24" s="461">
        <f t="shared" si="15"/>
        <v>0</v>
      </c>
      <c r="M24" s="461">
        <f t="shared" ref="M24:N28" si="26">P24+S24</f>
        <v>0</v>
      </c>
      <c r="N24" s="461">
        <f t="shared" si="26"/>
        <v>0</v>
      </c>
      <c r="O24" s="459">
        <f>P24+Q24</f>
        <v>0</v>
      </c>
      <c r="P24" s="459"/>
      <c r="Q24" s="459"/>
      <c r="R24" s="459">
        <f>S24+T24</f>
        <v>0</v>
      </c>
      <c r="S24" s="459"/>
      <c r="T24" s="459"/>
      <c r="U24" s="461">
        <f>V24+W24</f>
        <v>0</v>
      </c>
      <c r="V24" s="459"/>
      <c r="W24" s="459"/>
      <c r="X24" s="525"/>
      <c r="Y24" s="459">
        <f t="shared" si="7"/>
        <v>0</v>
      </c>
      <c r="Z24" s="459"/>
      <c r="AA24" s="459"/>
      <c r="AB24" s="459"/>
      <c r="AC24" s="459">
        <f t="shared" si="8"/>
        <v>0</v>
      </c>
      <c r="AD24" s="459"/>
      <c r="AE24" s="459"/>
      <c r="AF24" s="459"/>
      <c r="AG24" s="513">
        <f t="shared" si="9"/>
        <v>0</v>
      </c>
      <c r="AH24" s="520"/>
      <c r="AI24" s="520"/>
      <c r="AJ24" s="520"/>
      <c r="AK24" s="520"/>
      <c r="AL24" s="514">
        <f t="shared" si="17"/>
        <v>0</v>
      </c>
      <c r="AM24" s="514">
        <f t="shared" si="18"/>
        <v>0</v>
      </c>
      <c r="AN24" s="513">
        <f t="shared" si="19"/>
        <v>0</v>
      </c>
      <c r="AO24" s="450"/>
      <c r="AP24" s="475"/>
      <c r="AQ24" s="475"/>
      <c r="AR24" s="442"/>
      <c r="AS24" s="442"/>
      <c r="AT24" s="442"/>
      <c r="AU24" s="446"/>
      <c r="AV24" s="476"/>
    </row>
    <row r="25" spans="1:48" s="424" customFormat="1" ht="63">
      <c r="A25" s="432"/>
      <c r="B25" s="474" t="s">
        <v>468</v>
      </c>
      <c r="C25" s="545">
        <f t="shared" si="3"/>
        <v>0</v>
      </c>
      <c r="D25" s="474"/>
      <c r="E25" s="474"/>
      <c r="F25" s="474"/>
      <c r="G25" s="474"/>
      <c r="H25" s="474"/>
      <c r="I25" s="474"/>
      <c r="J25" s="474"/>
      <c r="K25" s="459">
        <f>L25+U25+X25</f>
        <v>0</v>
      </c>
      <c r="L25" s="461">
        <f>M25+N25</f>
        <v>0</v>
      </c>
      <c r="M25" s="461">
        <f t="shared" si="26"/>
        <v>0</v>
      </c>
      <c r="N25" s="461">
        <f>Q25+T25</f>
        <v>0</v>
      </c>
      <c r="O25" s="459">
        <f>P25+Q25</f>
        <v>0</v>
      </c>
      <c r="P25" s="459"/>
      <c r="Q25" s="459"/>
      <c r="R25" s="459">
        <f>S25+T25</f>
        <v>0</v>
      </c>
      <c r="S25" s="459"/>
      <c r="T25" s="459"/>
      <c r="U25" s="461">
        <f>V25+W25</f>
        <v>0</v>
      </c>
      <c r="V25" s="459"/>
      <c r="W25" s="459"/>
      <c r="X25" s="525"/>
      <c r="Y25" s="459">
        <f t="shared" si="7"/>
        <v>0</v>
      </c>
      <c r="Z25" s="459"/>
      <c r="AA25" s="459"/>
      <c r="AB25" s="459"/>
      <c r="AC25" s="459">
        <f t="shared" si="8"/>
        <v>0</v>
      </c>
      <c r="AD25" s="459"/>
      <c r="AE25" s="459"/>
      <c r="AF25" s="459"/>
      <c r="AG25" s="513">
        <f t="shared" si="9"/>
        <v>0</v>
      </c>
      <c r="AH25" s="520"/>
      <c r="AI25" s="520"/>
      <c r="AJ25" s="520"/>
      <c r="AK25" s="520"/>
      <c r="AL25" s="514">
        <f t="shared" si="17"/>
        <v>0</v>
      </c>
      <c r="AM25" s="514">
        <f t="shared" si="18"/>
        <v>0</v>
      </c>
      <c r="AN25" s="513">
        <f t="shared" si="19"/>
        <v>0</v>
      </c>
      <c r="AO25" s="450"/>
      <c r="AP25" s="475"/>
      <c r="AQ25" s="475"/>
      <c r="AR25" s="442"/>
      <c r="AS25" s="442"/>
      <c r="AT25" s="442"/>
      <c r="AU25" s="446"/>
      <c r="AV25" s="476"/>
    </row>
    <row r="26" spans="1:48" ht="31.5">
      <c r="A26" s="431" t="s">
        <v>74</v>
      </c>
      <c r="B26" s="473" t="s">
        <v>501</v>
      </c>
      <c r="C26" s="545">
        <f t="shared" si="3"/>
        <v>0</v>
      </c>
      <c r="D26" s="473"/>
      <c r="E26" s="473"/>
      <c r="F26" s="473"/>
      <c r="G26" s="473"/>
      <c r="H26" s="473"/>
      <c r="I26" s="473"/>
      <c r="J26" s="473"/>
      <c r="K26" s="459">
        <f>L26+U26+X26</f>
        <v>363223</v>
      </c>
      <c r="L26" s="461">
        <f>M26+N26</f>
        <v>363223</v>
      </c>
      <c r="M26" s="461">
        <f>P26+S26</f>
        <v>0</v>
      </c>
      <c r="N26" s="461">
        <f>Q26+T26</f>
        <v>363223</v>
      </c>
      <c r="O26" s="459">
        <f>P26+Q26</f>
        <v>0</v>
      </c>
      <c r="P26" s="461"/>
      <c r="Q26" s="461"/>
      <c r="R26" s="459">
        <f>S26+T26</f>
        <v>363223</v>
      </c>
      <c r="S26" s="461"/>
      <c r="T26" s="461">
        <f>409403-46180</f>
        <v>363223</v>
      </c>
      <c r="U26" s="461">
        <f>V26+W26</f>
        <v>0</v>
      </c>
      <c r="V26" s="461"/>
      <c r="W26" s="461">
        <v>0</v>
      </c>
      <c r="X26" s="526"/>
      <c r="Y26" s="459">
        <f t="shared" si="7"/>
        <v>0</v>
      </c>
      <c r="Z26" s="461"/>
      <c r="AA26" s="461"/>
      <c r="AB26" s="461"/>
      <c r="AC26" s="459">
        <f t="shared" si="8"/>
        <v>0</v>
      </c>
      <c r="AD26" s="461"/>
      <c r="AE26" s="461"/>
      <c r="AF26" s="461"/>
      <c r="AG26" s="513">
        <f t="shared" si="9"/>
        <v>0</v>
      </c>
      <c r="AH26" s="513"/>
      <c r="AI26" s="513"/>
      <c r="AJ26" s="513"/>
      <c r="AK26" s="513"/>
      <c r="AL26" s="514"/>
      <c r="AM26" s="514"/>
      <c r="AN26" s="513"/>
      <c r="AO26" s="451"/>
      <c r="AP26" s="471"/>
      <c r="AQ26" s="471"/>
      <c r="AV26" s="427"/>
    </row>
    <row r="27" spans="1:48" ht="40.5" customHeight="1">
      <c r="A27" s="431">
        <v>2</v>
      </c>
      <c r="B27" s="473" t="s">
        <v>417</v>
      </c>
      <c r="C27" s="545">
        <f t="shared" si="3"/>
        <v>0</v>
      </c>
      <c r="D27" s="473"/>
      <c r="E27" s="473"/>
      <c r="F27" s="473"/>
      <c r="G27" s="473"/>
      <c r="H27" s="473"/>
      <c r="I27" s="473"/>
      <c r="J27" s="473"/>
      <c r="K27" s="461" t="e">
        <f t="shared" si="23"/>
        <v>#REF!</v>
      </c>
      <c r="L27" s="461">
        <f t="shared" si="15"/>
        <v>200000</v>
      </c>
      <c r="M27" s="461">
        <f t="shared" si="26"/>
        <v>0</v>
      </c>
      <c r="N27" s="461">
        <f t="shared" si="26"/>
        <v>200000</v>
      </c>
      <c r="O27" s="461">
        <f t="shared" si="16"/>
        <v>200000</v>
      </c>
      <c r="P27" s="461"/>
      <c r="Q27" s="461">
        <v>200000</v>
      </c>
      <c r="R27" s="459">
        <f>S27+T27</f>
        <v>0</v>
      </c>
      <c r="S27" s="461"/>
      <c r="T27" s="461"/>
      <c r="U27" s="461">
        <f t="shared" si="13"/>
        <v>500000</v>
      </c>
      <c r="V27" s="461">
        <v>500000</v>
      </c>
      <c r="W27" s="461"/>
      <c r="X27" s="524" t="e">
        <f>'Bieu 17'!#REF!</f>
        <v>#REF!</v>
      </c>
      <c r="Y27" s="459">
        <f t="shared" si="7"/>
        <v>0</v>
      </c>
      <c r="Z27" s="461"/>
      <c r="AA27" s="461"/>
      <c r="AB27" s="461"/>
      <c r="AC27" s="459">
        <f t="shared" si="8"/>
        <v>0</v>
      </c>
      <c r="AD27" s="461"/>
      <c r="AE27" s="461"/>
      <c r="AF27" s="461"/>
      <c r="AG27" s="513">
        <f t="shared" si="9"/>
        <v>700000</v>
      </c>
      <c r="AH27" s="513"/>
      <c r="AI27" s="513"/>
      <c r="AJ27" s="513"/>
      <c r="AK27" s="513"/>
      <c r="AL27" s="514">
        <f t="shared" si="17"/>
        <v>500000</v>
      </c>
      <c r="AM27" s="514" t="e">
        <f t="shared" si="18"/>
        <v>#REF!</v>
      </c>
      <c r="AN27" s="513" t="e">
        <f t="shared" si="19"/>
        <v>#REF!</v>
      </c>
      <c r="AO27" s="451"/>
      <c r="AP27" s="471"/>
      <c r="AQ27" s="471"/>
      <c r="AV27" s="427"/>
    </row>
    <row r="28" spans="1:48" ht="20.25" customHeight="1">
      <c r="A28" s="431">
        <v>3</v>
      </c>
      <c r="B28" s="473" t="s">
        <v>418</v>
      </c>
      <c r="C28" s="545">
        <f t="shared" si="3"/>
        <v>0</v>
      </c>
      <c r="D28" s="473"/>
      <c r="E28" s="473"/>
      <c r="F28" s="473"/>
      <c r="G28" s="473"/>
      <c r="H28" s="473"/>
      <c r="I28" s="473"/>
      <c r="J28" s="473"/>
      <c r="K28" s="461" t="e">
        <f t="shared" si="23"/>
        <v>#REF!</v>
      </c>
      <c r="L28" s="461">
        <f t="shared" si="15"/>
        <v>76000</v>
      </c>
      <c r="M28" s="461">
        <f t="shared" si="26"/>
        <v>0</v>
      </c>
      <c r="N28" s="461">
        <f t="shared" si="26"/>
        <v>76000</v>
      </c>
      <c r="O28" s="461">
        <f t="shared" si="16"/>
        <v>76000</v>
      </c>
      <c r="P28" s="461"/>
      <c r="Q28" s="461">
        <v>76000</v>
      </c>
      <c r="R28" s="459">
        <f>S28+T28</f>
        <v>0</v>
      </c>
      <c r="S28" s="461"/>
      <c r="T28" s="461"/>
      <c r="U28" s="461">
        <f t="shared" si="13"/>
        <v>0</v>
      </c>
      <c r="V28" s="461"/>
      <c r="W28" s="461"/>
      <c r="X28" s="524" t="e">
        <f>'Bieu 17'!#REF!</f>
        <v>#REF!</v>
      </c>
      <c r="Y28" s="459">
        <f t="shared" si="7"/>
        <v>0</v>
      </c>
      <c r="Z28" s="461"/>
      <c r="AA28" s="461"/>
      <c r="AB28" s="461"/>
      <c r="AC28" s="459">
        <f t="shared" si="8"/>
        <v>0</v>
      </c>
      <c r="AD28" s="461"/>
      <c r="AE28" s="461"/>
      <c r="AF28" s="461"/>
      <c r="AG28" s="513">
        <f t="shared" si="9"/>
        <v>76000</v>
      </c>
      <c r="AH28" s="513"/>
      <c r="AI28" s="513"/>
      <c r="AJ28" s="513"/>
      <c r="AK28" s="513"/>
      <c r="AL28" s="514">
        <f t="shared" si="17"/>
        <v>0</v>
      </c>
      <c r="AM28" s="514" t="e">
        <f t="shared" si="18"/>
        <v>#REF!</v>
      </c>
      <c r="AN28" s="513" t="e">
        <f t="shared" si="19"/>
        <v>#REF!</v>
      </c>
      <c r="AO28" s="451"/>
      <c r="AP28" s="471"/>
      <c r="AQ28" s="471"/>
      <c r="AR28" s="478" t="e">
        <f>K22+K32+K34+200000</f>
        <v>#REF!</v>
      </c>
      <c r="AV28" s="427"/>
    </row>
    <row r="29" spans="1:48" ht="20.25" customHeight="1">
      <c r="A29" s="431">
        <v>4</v>
      </c>
      <c r="B29" s="473" t="s">
        <v>430</v>
      </c>
      <c r="C29" s="545">
        <f t="shared" si="3"/>
        <v>0</v>
      </c>
      <c r="D29" s="473"/>
      <c r="E29" s="473"/>
      <c r="F29" s="473"/>
      <c r="G29" s="473"/>
      <c r="H29" s="473"/>
      <c r="I29" s="473"/>
      <c r="J29" s="473"/>
      <c r="K29" s="461" t="e">
        <f t="shared" si="23"/>
        <v>#REF!</v>
      </c>
      <c r="L29" s="461">
        <f t="shared" si="15"/>
        <v>0</v>
      </c>
      <c r="M29" s="461">
        <f>SUM(M30:M31)</f>
        <v>0</v>
      </c>
      <c r="N29" s="461">
        <f>SUM(N30:N31)</f>
        <v>0</v>
      </c>
      <c r="O29" s="461">
        <f t="shared" si="16"/>
        <v>0</v>
      </c>
      <c r="P29" s="461"/>
      <c r="Q29" s="461">
        <f>SUM(Q30:Q31)</f>
        <v>0</v>
      </c>
      <c r="R29" s="461">
        <f>SUM(R30:R31)</f>
        <v>0</v>
      </c>
      <c r="S29" s="461">
        <f>SUM(S30:S31)</f>
        <v>0</v>
      </c>
      <c r="T29" s="461">
        <f>SUM(T30:T31)</f>
        <v>0</v>
      </c>
      <c r="U29" s="461">
        <f t="shared" si="13"/>
        <v>0</v>
      </c>
      <c r="V29" s="461"/>
      <c r="W29" s="461"/>
      <c r="X29" s="523" t="e">
        <f>'Bieu 17'!#REF!</f>
        <v>#REF!</v>
      </c>
      <c r="Y29" s="461">
        <f t="shared" si="7"/>
        <v>0</v>
      </c>
      <c r="Z29" s="461">
        <f>SUM(Z30:Z31)</f>
        <v>0</v>
      </c>
      <c r="AA29" s="461"/>
      <c r="AB29" s="461">
        <f>SUM(AB30:AB31)</f>
        <v>0</v>
      </c>
      <c r="AC29" s="461">
        <f t="shared" si="8"/>
        <v>0</v>
      </c>
      <c r="AD29" s="461">
        <f>SUM(AD30:AD31)</f>
        <v>0</v>
      </c>
      <c r="AE29" s="461"/>
      <c r="AF29" s="461">
        <f>SUM(AF30:AF31)</f>
        <v>0</v>
      </c>
      <c r="AG29" s="513">
        <f t="shared" si="9"/>
        <v>0</v>
      </c>
      <c r="AH29" s="513"/>
      <c r="AI29" s="513"/>
      <c r="AJ29" s="513"/>
      <c r="AK29" s="513"/>
      <c r="AL29" s="514">
        <f t="shared" si="17"/>
        <v>0</v>
      </c>
      <c r="AM29" s="514" t="e">
        <f t="shared" si="18"/>
        <v>#REF!</v>
      </c>
      <c r="AN29" s="513" t="e">
        <f t="shared" si="19"/>
        <v>#REF!</v>
      </c>
      <c r="AO29" s="451"/>
      <c r="AP29" s="471"/>
      <c r="AQ29" s="471"/>
      <c r="AR29" s="478" t="e">
        <f>I34-AR28</f>
        <v>#REF!</v>
      </c>
      <c r="AV29" s="427"/>
    </row>
    <row r="30" spans="1:48" s="424" customFormat="1" ht="20.25" customHeight="1">
      <c r="A30" s="432"/>
      <c r="B30" s="474" t="s">
        <v>416</v>
      </c>
      <c r="C30" s="545">
        <f t="shared" si="3"/>
        <v>0</v>
      </c>
      <c r="D30" s="474"/>
      <c r="E30" s="474"/>
      <c r="F30" s="474"/>
      <c r="G30" s="474"/>
      <c r="H30" s="474"/>
      <c r="I30" s="474"/>
      <c r="J30" s="474"/>
      <c r="K30" s="459" t="e">
        <f t="shared" si="23"/>
        <v>#REF!</v>
      </c>
      <c r="L30" s="461">
        <f t="shared" si="15"/>
        <v>0</v>
      </c>
      <c r="M30" s="461">
        <f t="shared" ref="M30:N33" si="27">P30+S30</f>
        <v>0</v>
      </c>
      <c r="N30" s="461">
        <f t="shared" si="27"/>
        <v>0</v>
      </c>
      <c r="O30" s="459">
        <f t="shared" si="16"/>
        <v>0</v>
      </c>
      <c r="P30" s="459"/>
      <c r="Q30" s="459"/>
      <c r="R30" s="459">
        <f>S30+T30</f>
        <v>0</v>
      </c>
      <c r="S30" s="459"/>
      <c r="T30" s="459"/>
      <c r="U30" s="459">
        <f t="shared" si="13"/>
        <v>0</v>
      </c>
      <c r="V30" s="459"/>
      <c r="W30" s="459"/>
      <c r="X30" s="527" t="e">
        <f>'Bieu 17'!#REF!</f>
        <v>#REF!</v>
      </c>
      <c r="Y30" s="459">
        <f t="shared" si="7"/>
        <v>0</v>
      </c>
      <c r="Z30" s="459"/>
      <c r="AA30" s="459"/>
      <c r="AB30" s="459"/>
      <c r="AC30" s="459">
        <f t="shared" si="8"/>
        <v>0</v>
      </c>
      <c r="AD30" s="459"/>
      <c r="AE30" s="459"/>
      <c r="AF30" s="459"/>
      <c r="AG30" s="513">
        <f t="shared" si="9"/>
        <v>0</v>
      </c>
      <c r="AH30" s="520"/>
      <c r="AI30" s="520"/>
      <c r="AJ30" s="520"/>
      <c r="AK30" s="520"/>
      <c r="AL30" s="514">
        <f t="shared" si="17"/>
        <v>0</v>
      </c>
      <c r="AM30" s="514" t="e">
        <f t="shared" si="18"/>
        <v>#REF!</v>
      </c>
      <c r="AN30" s="513" t="e">
        <f t="shared" si="19"/>
        <v>#REF!</v>
      </c>
      <c r="AO30" s="450"/>
      <c r="AP30" s="475"/>
      <c r="AQ30" s="475"/>
      <c r="AR30" s="479">
        <f>U38+U44+U50+U53+U70+U91+U100+U108+U116+U131+U145+U153+U164</f>
        <v>4878446</v>
      </c>
      <c r="AS30" s="442"/>
      <c r="AT30" s="442"/>
      <c r="AU30" s="446"/>
      <c r="AV30" s="476"/>
    </row>
    <row r="31" spans="1:48" s="424" customFormat="1" ht="47.25">
      <c r="A31" s="432"/>
      <c r="B31" s="474" t="s">
        <v>431</v>
      </c>
      <c r="C31" s="545">
        <f t="shared" si="3"/>
        <v>0</v>
      </c>
      <c r="D31" s="474"/>
      <c r="E31" s="474"/>
      <c r="F31" s="474"/>
      <c r="G31" s="474"/>
      <c r="H31" s="474"/>
      <c r="I31" s="474"/>
      <c r="J31" s="474"/>
      <c r="K31" s="459" t="e">
        <f t="shared" si="23"/>
        <v>#REF!</v>
      </c>
      <c r="L31" s="461">
        <f t="shared" si="15"/>
        <v>0</v>
      </c>
      <c r="M31" s="461">
        <f t="shared" si="27"/>
        <v>0</v>
      </c>
      <c r="N31" s="461">
        <f t="shared" si="27"/>
        <v>0</v>
      </c>
      <c r="O31" s="459">
        <f t="shared" si="16"/>
        <v>0</v>
      </c>
      <c r="P31" s="459"/>
      <c r="Q31" s="459"/>
      <c r="R31" s="459">
        <f>S31+T31</f>
        <v>0</v>
      </c>
      <c r="S31" s="459"/>
      <c r="T31" s="459"/>
      <c r="U31" s="459">
        <f t="shared" si="13"/>
        <v>0</v>
      </c>
      <c r="V31" s="459"/>
      <c r="W31" s="459"/>
      <c r="X31" s="527" t="e">
        <f>'Bieu 17'!#REF!</f>
        <v>#REF!</v>
      </c>
      <c r="Y31" s="459">
        <f t="shared" si="7"/>
        <v>0</v>
      </c>
      <c r="Z31" s="459"/>
      <c r="AA31" s="459"/>
      <c r="AB31" s="459"/>
      <c r="AC31" s="459">
        <f t="shared" si="8"/>
        <v>0</v>
      </c>
      <c r="AD31" s="459"/>
      <c r="AE31" s="459"/>
      <c r="AF31" s="459"/>
      <c r="AG31" s="513">
        <f t="shared" si="9"/>
        <v>0</v>
      </c>
      <c r="AH31" s="520"/>
      <c r="AI31" s="520"/>
      <c r="AJ31" s="520"/>
      <c r="AK31" s="520"/>
      <c r="AL31" s="514">
        <f t="shared" si="17"/>
        <v>0</v>
      </c>
      <c r="AM31" s="514" t="e">
        <f t="shared" si="18"/>
        <v>#REF!</v>
      </c>
      <c r="AN31" s="513" t="e">
        <f t="shared" si="19"/>
        <v>#REF!</v>
      </c>
      <c r="AO31" s="450"/>
      <c r="AP31" s="475"/>
      <c r="AQ31" s="475"/>
      <c r="AR31" s="479">
        <f>X39+X45+U119+U120+U121+U122+U123+X130+U51+U74+U109+U134+U135+U154</f>
        <v>815859</v>
      </c>
      <c r="AS31" s="442"/>
      <c r="AT31" s="442"/>
      <c r="AU31" s="446"/>
      <c r="AV31" s="476"/>
    </row>
    <row r="32" spans="1:48" ht="20.25" customHeight="1">
      <c r="A32" s="431">
        <v>5</v>
      </c>
      <c r="B32" s="473" t="s">
        <v>426</v>
      </c>
      <c r="C32" s="545">
        <f t="shared" si="3"/>
        <v>0</v>
      </c>
      <c r="D32" s="473"/>
      <c r="E32" s="473"/>
      <c r="F32" s="473"/>
      <c r="G32" s="473"/>
      <c r="H32" s="473"/>
      <c r="I32" s="473"/>
      <c r="J32" s="473"/>
      <c r="K32" s="461" t="e">
        <f t="shared" si="23"/>
        <v>#REF!</v>
      </c>
      <c r="L32" s="461">
        <f t="shared" si="15"/>
        <v>80000</v>
      </c>
      <c r="M32" s="461">
        <f t="shared" si="27"/>
        <v>80000</v>
      </c>
      <c r="N32" s="461">
        <f t="shared" si="27"/>
        <v>0</v>
      </c>
      <c r="O32" s="461">
        <f t="shared" si="16"/>
        <v>80000</v>
      </c>
      <c r="P32" s="461">
        <f>65000+15000</f>
        <v>80000</v>
      </c>
      <c r="Q32" s="461"/>
      <c r="R32" s="459">
        <f>S32+T32</f>
        <v>0</v>
      </c>
      <c r="S32" s="461"/>
      <c r="T32" s="461"/>
      <c r="U32" s="461">
        <f t="shared" si="13"/>
        <v>0</v>
      </c>
      <c r="V32" s="461"/>
      <c r="W32" s="461"/>
      <c r="X32" s="524" t="e">
        <f>'Bieu 17'!#REF!</f>
        <v>#REF!</v>
      </c>
      <c r="Y32" s="459">
        <f t="shared" si="7"/>
        <v>0</v>
      </c>
      <c r="Z32" s="461"/>
      <c r="AA32" s="461"/>
      <c r="AB32" s="461"/>
      <c r="AC32" s="459">
        <f t="shared" si="8"/>
        <v>0</v>
      </c>
      <c r="AD32" s="461"/>
      <c r="AE32" s="461"/>
      <c r="AF32" s="461"/>
      <c r="AG32" s="513">
        <f t="shared" si="9"/>
        <v>80000</v>
      </c>
      <c r="AH32" s="513"/>
      <c r="AI32" s="513"/>
      <c r="AJ32" s="513"/>
      <c r="AK32" s="513"/>
      <c r="AL32" s="514">
        <f t="shared" si="17"/>
        <v>0</v>
      </c>
      <c r="AM32" s="514" t="e">
        <f t="shared" si="18"/>
        <v>#REF!</v>
      </c>
      <c r="AN32" s="513" t="e">
        <f t="shared" si="19"/>
        <v>#REF!</v>
      </c>
      <c r="AO32" s="451" t="e">
        <f>AO34-U34-O34-X34</f>
        <v>#REF!</v>
      </c>
      <c r="AP32" s="471"/>
      <c r="AQ32" s="471"/>
      <c r="AR32" s="440">
        <f>AR30+AR31</f>
        <v>5694305</v>
      </c>
      <c r="AV32" s="427"/>
    </row>
    <row r="33" spans="1:48" ht="20.25" customHeight="1">
      <c r="A33" s="431">
        <v>6</v>
      </c>
      <c r="B33" s="473" t="s">
        <v>440</v>
      </c>
      <c r="C33" s="545">
        <f t="shared" si="3"/>
        <v>0</v>
      </c>
      <c r="D33" s="473"/>
      <c r="E33" s="473"/>
      <c r="F33" s="473"/>
      <c r="G33" s="473"/>
      <c r="H33" s="473"/>
      <c r="I33" s="473"/>
      <c r="J33" s="473"/>
      <c r="K33" s="461" t="e">
        <f t="shared" si="23"/>
        <v>#REF!</v>
      </c>
      <c r="L33" s="461">
        <f t="shared" si="15"/>
        <v>76300</v>
      </c>
      <c r="M33" s="461">
        <f t="shared" si="27"/>
        <v>0</v>
      </c>
      <c r="N33" s="461">
        <f t="shared" si="27"/>
        <v>76300</v>
      </c>
      <c r="O33" s="461">
        <f t="shared" si="16"/>
        <v>76300</v>
      </c>
      <c r="P33" s="461"/>
      <c r="Q33" s="461">
        <v>76300</v>
      </c>
      <c r="R33" s="459">
        <f>S33+T33</f>
        <v>0</v>
      </c>
      <c r="S33" s="461"/>
      <c r="T33" s="461"/>
      <c r="U33" s="461">
        <f t="shared" si="13"/>
        <v>0</v>
      </c>
      <c r="V33" s="461"/>
      <c r="W33" s="461"/>
      <c r="X33" s="524" t="e">
        <f>'Bieu 17'!#REF!</f>
        <v>#REF!</v>
      </c>
      <c r="Y33" s="459">
        <f t="shared" si="7"/>
        <v>0</v>
      </c>
      <c r="Z33" s="461"/>
      <c r="AA33" s="461"/>
      <c r="AB33" s="461"/>
      <c r="AC33" s="459">
        <f t="shared" si="8"/>
        <v>0</v>
      </c>
      <c r="AD33" s="461"/>
      <c r="AE33" s="461"/>
      <c r="AF33" s="461"/>
      <c r="AG33" s="513">
        <f t="shared" si="9"/>
        <v>76300</v>
      </c>
      <c r="AH33" s="513"/>
      <c r="AI33" s="513"/>
      <c r="AJ33" s="513"/>
      <c r="AK33" s="513"/>
      <c r="AL33" s="514">
        <f t="shared" si="17"/>
        <v>0</v>
      </c>
      <c r="AM33" s="514" t="e">
        <f t="shared" si="18"/>
        <v>#REF!</v>
      </c>
      <c r="AN33" s="513" t="e">
        <f t="shared" si="19"/>
        <v>#REF!</v>
      </c>
      <c r="AO33" s="451"/>
      <c r="AP33" s="471"/>
      <c r="AQ33" s="471"/>
      <c r="AR33" s="440">
        <v>5369698</v>
      </c>
      <c r="AV33" s="427"/>
    </row>
    <row r="34" spans="1:48" s="434" customFormat="1" ht="19.5" customHeight="1">
      <c r="A34" s="1091" t="s">
        <v>18</v>
      </c>
      <c r="B34" s="433" t="s">
        <v>386</v>
      </c>
      <c r="C34" s="545">
        <f t="shared" si="3"/>
        <v>0</v>
      </c>
      <c r="D34" s="433">
        <f>D36+D42+D48+D68+D85+D89+D98+D106+D114+D129+D143+D151+D162+D163</f>
        <v>0</v>
      </c>
      <c r="E34" s="433">
        <f t="shared" ref="E34:J34" si="28">E36+E42+E48+E68+E85+E89+E98+E106+E114+E129+E143+E151+E162+E163</f>
        <v>0</v>
      </c>
      <c r="F34" s="433">
        <f t="shared" si="28"/>
        <v>0</v>
      </c>
      <c r="G34" s="433">
        <f t="shared" ref="G34:H34" si="29">G36+G42+G48+G68+G85+G89+G98+G106+G114+G129+G143+G151+G162+G163</f>
        <v>0</v>
      </c>
      <c r="H34" s="433">
        <f t="shared" si="29"/>
        <v>0</v>
      </c>
      <c r="I34" s="433">
        <f t="shared" si="28"/>
        <v>0</v>
      </c>
      <c r="J34" s="433">
        <f t="shared" si="28"/>
        <v>0</v>
      </c>
      <c r="K34" s="458" t="e">
        <f>K36+K42+K48+K68+K85+K89+K98+K106+K114+K129+K143+K151+K162+K163</f>
        <v>#REF!</v>
      </c>
      <c r="L34" s="458">
        <f t="shared" ref="L34:AF34" si="30">L36+L42+L48+L68+L85+L89+L98+L106+L114+L129+L143+L151+L162+L163</f>
        <v>2830510</v>
      </c>
      <c r="M34" s="458">
        <f t="shared" si="30"/>
        <v>2367250</v>
      </c>
      <c r="N34" s="458">
        <f t="shared" si="30"/>
        <v>463260</v>
      </c>
      <c r="O34" s="458">
        <f t="shared" si="30"/>
        <v>2830510</v>
      </c>
      <c r="P34" s="458">
        <f t="shared" si="30"/>
        <v>2367250</v>
      </c>
      <c r="Q34" s="458">
        <f t="shared" si="30"/>
        <v>463260</v>
      </c>
      <c r="R34" s="458">
        <f t="shared" si="30"/>
        <v>0</v>
      </c>
      <c r="S34" s="458">
        <f t="shared" si="30"/>
        <v>0</v>
      </c>
      <c r="T34" s="458">
        <f t="shared" si="30"/>
        <v>0</v>
      </c>
      <c r="U34" s="458">
        <f t="shared" si="30"/>
        <v>6281937</v>
      </c>
      <c r="V34" s="458">
        <f t="shared" si="30"/>
        <v>6172422</v>
      </c>
      <c r="W34" s="458">
        <f t="shared" si="30"/>
        <v>109515</v>
      </c>
      <c r="X34" s="458" t="e">
        <f t="shared" si="30"/>
        <v>#REF!</v>
      </c>
      <c r="Y34" s="458">
        <f t="shared" si="30"/>
        <v>0</v>
      </c>
      <c r="Z34" s="458">
        <f t="shared" si="30"/>
        <v>0</v>
      </c>
      <c r="AA34" s="458">
        <f t="shared" si="30"/>
        <v>0</v>
      </c>
      <c r="AB34" s="458">
        <f t="shared" si="30"/>
        <v>0</v>
      </c>
      <c r="AC34" s="458">
        <f t="shared" si="30"/>
        <v>0</v>
      </c>
      <c r="AD34" s="458">
        <f t="shared" si="30"/>
        <v>0</v>
      </c>
      <c r="AE34" s="458">
        <f t="shared" si="30"/>
        <v>0</v>
      </c>
      <c r="AF34" s="458">
        <f t="shared" si="30"/>
        <v>0</v>
      </c>
      <c r="AG34" s="513">
        <f t="shared" si="9"/>
        <v>9112447</v>
      </c>
      <c r="AH34" s="512"/>
      <c r="AI34" s="512"/>
      <c r="AJ34" s="512"/>
      <c r="AK34" s="512"/>
      <c r="AL34" s="514">
        <f>V34</f>
        <v>6172422</v>
      </c>
      <c r="AM34" s="514" t="e">
        <f t="shared" si="18"/>
        <v>#REF!</v>
      </c>
      <c r="AN34" s="513" t="e">
        <f>AB34+AL34+AM34</f>
        <v>#REF!</v>
      </c>
      <c r="AO34" s="449">
        <v>10365579</v>
      </c>
      <c r="AP34" s="472" t="e">
        <f>200000+#REF!+#REF!</f>
        <v>#REF!</v>
      </c>
      <c r="AQ34" s="472"/>
      <c r="AR34" s="441">
        <f>AR32-AR33</f>
        <v>324607</v>
      </c>
      <c r="AS34" s="441" t="e">
        <f>K34*4%</f>
        <v>#REF!</v>
      </c>
      <c r="AT34" s="441"/>
      <c r="AU34" s="445"/>
    </row>
    <row r="35" spans="1:48" s="434" customFormat="1" ht="47.25">
      <c r="A35" s="1091"/>
      <c r="B35" s="435" t="s">
        <v>387</v>
      </c>
      <c r="C35" s="545">
        <f t="shared" si="3"/>
        <v>0</v>
      </c>
      <c r="D35" s="435"/>
      <c r="E35" s="435"/>
      <c r="F35" s="435"/>
      <c r="G35" s="435"/>
      <c r="H35" s="435"/>
      <c r="I35" s="435"/>
      <c r="J35" s="435"/>
      <c r="K35" s="459">
        <f t="shared" si="23"/>
        <v>157253</v>
      </c>
      <c r="L35" s="461">
        <f t="shared" si="15"/>
        <v>157253</v>
      </c>
      <c r="M35" s="459">
        <f>P35+S35</f>
        <v>0</v>
      </c>
      <c r="N35" s="459">
        <f>Q35+T35</f>
        <v>157253</v>
      </c>
      <c r="O35" s="459">
        <f>P35+Q35</f>
        <v>157253</v>
      </c>
      <c r="P35" s="459"/>
      <c r="Q35" s="459">
        <f>Q41+Q47+Q64+Q67+Q80+Q84+Q88+Q94+Q97+Q103+Q105+Q111+Q113+Q125+Q128+Q138+Q142+Q148+Q150+Q156+Q161+Q168+Q170+(Q65+Q81+Q95+Q139+Q158)*10%</f>
        <v>157253</v>
      </c>
      <c r="R35" s="459">
        <f t="shared" ref="R35:R101" si="31">S35+T35</f>
        <v>0</v>
      </c>
      <c r="S35" s="459"/>
      <c r="T35" s="459"/>
      <c r="U35" s="459"/>
      <c r="V35" s="459"/>
      <c r="W35" s="459"/>
      <c r="X35" s="528">
        <f>X41+X47+X64+X67+X80+X84+X88+X94+X97+X103+X105+X111+X125+X128+X138+X142+X148+X150+X156+X161+X168+X170</f>
        <v>0</v>
      </c>
      <c r="Y35" s="459">
        <f t="shared" si="7"/>
        <v>0</v>
      </c>
      <c r="Z35" s="459"/>
      <c r="AA35" s="459"/>
      <c r="AB35" s="459"/>
      <c r="AC35" s="459">
        <f t="shared" si="8"/>
        <v>0</v>
      </c>
      <c r="AD35" s="459"/>
      <c r="AE35" s="459"/>
      <c r="AF35" s="459"/>
      <c r="AG35" s="513">
        <f t="shared" si="9"/>
        <v>157253</v>
      </c>
      <c r="AH35" s="520"/>
      <c r="AI35" s="520"/>
      <c r="AJ35" s="520"/>
      <c r="AK35" s="520"/>
      <c r="AL35" s="514"/>
      <c r="AM35" s="514">
        <f>U34-6157204</f>
        <v>124733</v>
      </c>
      <c r="AN35" s="513"/>
      <c r="AO35" s="450" t="e">
        <f>K34-AO34</f>
        <v>#REF!</v>
      </c>
      <c r="AP35" s="441"/>
      <c r="AQ35" s="441" t="e">
        <f>AN34-AO34</f>
        <v>#REF!</v>
      </c>
      <c r="AR35" s="441"/>
      <c r="AS35" s="441"/>
      <c r="AT35" s="441"/>
      <c r="AU35" s="445"/>
    </row>
    <row r="36" spans="1:48" s="434" customFormat="1" ht="23.25" customHeight="1">
      <c r="A36" s="428">
        <v>1</v>
      </c>
      <c r="B36" s="490" t="s">
        <v>432</v>
      </c>
      <c r="C36" s="545">
        <f t="shared" si="3"/>
        <v>0</v>
      </c>
      <c r="D36" s="490">
        <f>D37+D40</f>
        <v>0</v>
      </c>
      <c r="E36" s="490">
        <f t="shared" ref="E36:J36" si="32">E37+E40</f>
        <v>0</v>
      </c>
      <c r="F36" s="490">
        <f t="shared" si="32"/>
        <v>0</v>
      </c>
      <c r="G36" s="490">
        <f t="shared" ref="G36" si="33">G37+G40</f>
        <v>0</v>
      </c>
      <c r="H36" s="490">
        <f t="shared" ref="H36" si="34">H37+H40</f>
        <v>0</v>
      </c>
      <c r="I36" s="490">
        <f t="shared" si="32"/>
        <v>0</v>
      </c>
      <c r="J36" s="490">
        <f t="shared" si="32"/>
        <v>0</v>
      </c>
      <c r="K36" s="458">
        <f t="shared" si="23"/>
        <v>157011</v>
      </c>
      <c r="L36" s="458">
        <f t="shared" si="15"/>
        <v>54943</v>
      </c>
      <c r="M36" s="458">
        <f>M37+M40</f>
        <v>47183</v>
      </c>
      <c r="N36" s="458">
        <f>N37+N40</f>
        <v>7760</v>
      </c>
      <c r="O36" s="458">
        <f>P36+Q36</f>
        <v>54943</v>
      </c>
      <c r="P36" s="458">
        <f>P37+P40</f>
        <v>47183</v>
      </c>
      <c r="Q36" s="458">
        <f>Q37+Q40</f>
        <v>7760</v>
      </c>
      <c r="R36" s="458">
        <f t="shared" si="31"/>
        <v>0</v>
      </c>
      <c r="S36" s="458"/>
      <c r="T36" s="458"/>
      <c r="U36" s="458">
        <f>V36+W36</f>
        <v>102068</v>
      </c>
      <c r="V36" s="458">
        <f>V37+V40</f>
        <v>102068</v>
      </c>
      <c r="W36" s="458">
        <f>W37+W40</f>
        <v>0</v>
      </c>
      <c r="X36" s="522">
        <f>X37+X40</f>
        <v>0</v>
      </c>
      <c r="Y36" s="458">
        <f>Z36+AA36+AB36</f>
        <v>0</v>
      </c>
      <c r="Z36" s="458"/>
      <c r="AA36" s="458"/>
      <c r="AB36" s="458"/>
      <c r="AC36" s="458">
        <f t="shared" si="8"/>
        <v>0</v>
      </c>
      <c r="AD36" s="458"/>
      <c r="AE36" s="458"/>
      <c r="AF36" s="458"/>
      <c r="AG36" s="513">
        <f t="shared" si="9"/>
        <v>157011</v>
      </c>
      <c r="AH36" s="512">
        <f>AH37+AH40</f>
        <v>0</v>
      </c>
      <c r="AI36" s="512"/>
      <c r="AJ36" s="512"/>
      <c r="AK36" s="512"/>
      <c r="AL36" s="514"/>
      <c r="AM36" s="514"/>
      <c r="AN36" s="513"/>
      <c r="AO36" s="449">
        <v>156977</v>
      </c>
      <c r="AP36" s="441">
        <f>K36-AO36</f>
        <v>34</v>
      </c>
      <c r="AQ36" s="441">
        <f>AR36+AS36</f>
        <v>34</v>
      </c>
      <c r="AR36" s="441">
        <f>AP36</f>
        <v>34</v>
      </c>
      <c r="AS36" s="441"/>
      <c r="AT36" s="441"/>
      <c r="AU36" s="445">
        <f>'BTC-Chinh thuc'!M128</f>
        <v>-59714.505904999998</v>
      </c>
      <c r="AV36" s="491">
        <f>K36-AP36</f>
        <v>156977</v>
      </c>
    </row>
    <row r="37" spans="1:48" ht="23.25" customHeight="1">
      <c r="A37" s="431" t="s">
        <v>45</v>
      </c>
      <c r="B37" s="436" t="s">
        <v>401</v>
      </c>
      <c r="C37" s="545">
        <f t="shared" si="3"/>
        <v>0</v>
      </c>
      <c r="D37" s="436"/>
      <c r="E37" s="436"/>
      <c r="F37" s="436"/>
      <c r="G37" s="436"/>
      <c r="H37" s="436"/>
      <c r="I37" s="436"/>
      <c r="J37" s="436"/>
      <c r="K37" s="461">
        <f t="shared" si="23"/>
        <v>149251</v>
      </c>
      <c r="L37" s="461">
        <f t="shared" si="15"/>
        <v>47183</v>
      </c>
      <c r="M37" s="461">
        <f>M38+M39</f>
        <v>47183</v>
      </c>
      <c r="N37" s="461">
        <f>N38+N39</f>
        <v>0</v>
      </c>
      <c r="O37" s="461">
        <f t="shared" ref="O37:O121" si="35">P37+Q37</f>
        <v>47183</v>
      </c>
      <c r="P37" s="461">
        <f>P38+P39</f>
        <v>47183</v>
      </c>
      <c r="Q37" s="461"/>
      <c r="R37" s="461">
        <f t="shared" si="31"/>
        <v>0</v>
      </c>
      <c r="S37" s="461"/>
      <c r="T37" s="461"/>
      <c r="U37" s="461">
        <f t="shared" ref="U37:U122" si="36">V37+W37</f>
        <v>102068</v>
      </c>
      <c r="V37" s="461">
        <f>V38+V39</f>
        <v>102068</v>
      </c>
      <c r="W37" s="461">
        <f>W38+W39</f>
        <v>0</v>
      </c>
      <c r="X37" s="526"/>
      <c r="Y37" s="461">
        <f>Z37+AA37+AB37</f>
        <v>0</v>
      </c>
      <c r="Z37" s="461"/>
      <c r="AA37" s="461"/>
      <c r="AB37" s="461"/>
      <c r="AC37" s="461">
        <f t="shared" si="8"/>
        <v>0</v>
      </c>
      <c r="AD37" s="461"/>
      <c r="AE37" s="461"/>
      <c r="AF37" s="461"/>
      <c r="AG37" s="513">
        <f t="shared" si="9"/>
        <v>149251</v>
      </c>
      <c r="AH37" s="513"/>
      <c r="AI37" s="513"/>
      <c r="AJ37" s="513"/>
      <c r="AK37" s="513"/>
      <c r="AL37" s="514"/>
      <c r="AM37" s="514"/>
      <c r="AN37" s="513"/>
      <c r="AO37" s="451"/>
    </row>
    <row r="38" spans="1:48" s="424" customFormat="1" ht="23.25" customHeight="1">
      <c r="A38" s="432" t="s">
        <v>433</v>
      </c>
      <c r="B38" s="435" t="s">
        <v>455</v>
      </c>
      <c r="C38" s="545">
        <f t="shared" si="3"/>
        <v>0</v>
      </c>
      <c r="D38" s="435"/>
      <c r="E38" s="435"/>
      <c r="F38" s="435"/>
      <c r="G38" s="435"/>
      <c r="H38" s="435"/>
      <c r="I38" s="435"/>
      <c r="J38" s="435"/>
      <c r="K38" s="459">
        <f t="shared" si="23"/>
        <v>59015</v>
      </c>
      <c r="L38" s="461">
        <f t="shared" si="15"/>
        <v>32363</v>
      </c>
      <c r="M38" s="459">
        <f t="shared" ref="M38:N41" si="37">P38+S38</f>
        <v>32363</v>
      </c>
      <c r="N38" s="459">
        <f t="shared" si="37"/>
        <v>0</v>
      </c>
      <c r="O38" s="459">
        <f t="shared" si="35"/>
        <v>32363</v>
      </c>
      <c r="P38" s="459">
        <f>22800+8810+719+34</f>
        <v>32363</v>
      </c>
      <c r="Q38" s="459"/>
      <c r="R38" s="459">
        <f t="shared" si="31"/>
        <v>0</v>
      </c>
      <c r="S38" s="459"/>
      <c r="T38" s="459"/>
      <c r="U38" s="459">
        <f t="shared" si="36"/>
        <v>26652</v>
      </c>
      <c r="V38" s="459">
        <v>26652</v>
      </c>
      <c r="W38" s="459"/>
      <c r="X38" s="525"/>
      <c r="Y38" s="459">
        <f t="shared" si="7"/>
        <v>0</v>
      </c>
      <c r="Z38" s="459"/>
      <c r="AA38" s="459"/>
      <c r="AB38" s="459"/>
      <c r="AC38" s="459">
        <f t="shared" si="8"/>
        <v>0</v>
      </c>
      <c r="AD38" s="459"/>
      <c r="AE38" s="459"/>
      <c r="AF38" s="459"/>
      <c r="AG38" s="513">
        <f t="shared" si="9"/>
        <v>59015</v>
      </c>
      <c r="AH38" s="520"/>
      <c r="AI38" s="520"/>
      <c r="AJ38" s="520"/>
      <c r="AK38" s="520"/>
      <c r="AL38" s="514"/>
      <c r="AM38" s="514"/>
      <c r="AN38" s="513"/>
      <c r="AO38" s="450"/>
      <c r="AP38" s="442"/>
      <c r="AQ38" s="442"/>
      <c r="AR38" s="442"/>
      <c r="AS38" s="442"/>
      <c r="AT38" s="442"/>
      <c r="AU38" s="446"/>
    </row>
    <row r="39" spans="1:48" s="424" customFormat="1">
      <c r="A39" s="432" t="s">
        <v>433</v>
      </c>
      <c r="B39" s="435" t="s">
        <v>456</v>
      </c>
      <c r="C39" s="545">
        <f t="shared" si="3"/>
        <v>0</v>
      </c>
      <c r="D39" s="435"/>
      <c r="E39" s="435"/>
      <c r="F39" s="435"/>
      <c r="G39" s="435"/>
      <c r="H39" s="435"/>
      <c r="I39" s="435"/>
      <c r="J39" s="435"/>
      <c r="K39" s="459">
        <f t="shared" si="23"/>
        <v>90236</v>
      </c>
      <c r="L39" s="461">
        <f t="shared" si="15"/>
        <v>14820</v>
      </c>
      <c r="M39" s="459">
        <f t="shared" si="37"/>
        <v>14820</v>
      </c>
      <c r="N39" s="459">
        <f t="shared" si="37"/>
        <v>0</v>
      </c>
      <c r="O39" s="459">
        <f t="shared" si="35"/>
        <v>14820</v>
      </c>
      <c r="P39" s="459">
        <v>14820</v>
      </c>
      <c r="Q39" s="459"/>
      <c r="R39" s="459">
        <f t="shared" si="31"/>
        <v>0</v>
      </c>
      <c r="S39" s="459"/>
      <c r="T39" s="459"/>
      <c r="U39" s="459">
        <f t="shared" si="36"/>
        <v>75416</v>
      </c>
      <c r="V39" s="459">
        <v>75416</v>
      </c>
      <c r="W39" s="459"/>
      <c r="X39" s="525">
        <f>X37</f>
        <v>0</v>
      </c>
      <c r="Y39" s="459">
        <f t="shared" si="7"/>
        <v>0</v>
      </c>
      <c r="Z39" s="459"/>
      <c r="AA39" s="459"/>
      <c r="AB39" s="459"/>
      <c r="AC39" s="459">
        <f t="shared" si="8"/>
        <v>0</v>
      </c>
      <c r="AD39" s="459"/>
      <c r="AE39" s="459"/>
      <c r="AF39" s="459"/>
      <c r="AG39" s="513">
        <f t="shared" si="9"/>
        <v>90236</v>
      </c>
      <c r="AH39" s="520"/>
      <c r="AI39" s="520"/>
      <c r="AJ39" s="520"/>
      <c r="AK39" s="520"/>
      <c r="AL39" s="514"/>
      <c r="AM39" s="514"/>
      <c r="AN39" s="513"/>
      <c r="AO39" s="450"/>
      <c r="AP39" s="442"/>
      <c r="AQ39" s="442"/>
      <c r="AR39" s="442"/>
      <c r="AS39" s="442"/>
      <c r="AT39" s="442"/>
      <c r="AU39" s="446"/>
    </row>
    <row r="40" spans="1:48" ht="23.25" customHeight="1">
      <c r="A40" s="431" t="s">
        <v>56</v>
      </c>
      <c r="B40" s="480" t="s">
        <v>402</v>
      </c>
      <c r="C40" s="545">
        <f t="shared" si="3"/>
        <v>0</v>
      </c>
      <c r="D40" s="480"/>
      <c r="E40" s="480"/>
      <c r="F40" s="480"/>
      <c r="G40" s="480"/>
      <c r="H40" s="480"/>
      <c r="I40" s="480"/>
      <c r="J40" s="480"/>
      <c r="K40" s="461">
        <f t="shared" si="23"/>
        <v>7760</v>
      </c>
      <c r="L40" s="461">
        <f>M40+N40</f>
        <v>7760</v>
      </c>
      <c r="M40" s="459">
        <f t="shared" si="37"/>
        <v>0</v>
      </c>
      <c r="N40" s="459">
        <f>Q40+T40</f>
        <v>7760</v>
      </c>
      <c r="O40" s="461">
        <f t="shared" si="35"/>
        <v>7760</v>
      </c>
      <c r="P40" s="461"/>
      <c r="Q40" s="461">
        <f>10000-2240</f>
        <v>7760</v>
      </c>
      <c r="R40" s="461">
        <f t="shared" si="31"/>
        <v>0</v>
      </c>
      <c r="S40" s="461"/>
      <c r="T40" s="461"/>
      <c r="U40" s="461">
        <f>V40+W40</f>
        <v>0</v>
      </c>
      <c r="V40" s="461"/>
      <c r="W40" s="461"/>
      <c r="X40" s="526"/>
      <c r="Y40" s="461">
        <f t="shared" si="7"/>
        <v>0</v>
      </c>
      <c r="Z40" s="461"/>
      <c r="AA40" s="461"/>
      <c r="AB40" s="461"/>
      <c r="AC40" s="461">
        <f t="shared" si="8"/>
        <v>0</v>
      </c>
      <c r="AD40" s="461"/>
      <c r="AE40" s="461"/>
      <c r="AF40" s="461"/>
      <c r="AG40" s="513">
        <f t="shared" si="9"/>
        <v>7760</v>
      </c>
      <c r="AH40" s="513"/>
      <c r="AI40" s="513"/>
      <c r="AJ40" s="513"/>
      <c r="AK40" s="513"/>
      <c r="AL40" s="514"/>
      <c r="AM40" s="514"/>
      <c r="AN40" s="513"/>
      <c r="AO40" s="451"/>
    </row>
    <row r="41" spans="1:48" s="424" customFormat="1" ht="23.25" customHeight="1">
      <c r="A41" s="432"/>
      <c r="B41" s="439" t="s">
        <v>443</v>
      </c>
      <c r="C41" s="545">
        <f t="shared" si="3"/>
        <v>0</v>
      </c>
      <c r="D41" s="439"/>
      <c r="E41" s="439"/>
      <c r="F41" s="439"/>
      <c r="G41" s="439"/>
      <c r="H41" s="439"/>
      <c r="I41" s="439"/>
      <c r="J41" s="439"/>
      <c r="K41" s="459">
        <f t="shared" si="23"/>
        <v>776</v>
      </c>
      <c r="L41" s="461">
        <f t="shared" si="15"/>
        <v>776</v>
      </c>
      <c r="M41" s="459">
        <f t="shared" si="37"/>
        <v>0</v>
      </c>
      <c r="N41" s="459">
        <f t="shared" si="37"/>
        <v>776</v>
      </c>
      <c r="O41" s="459">
        <f>P41+Q41</f>
        <v>776</v>
      </c>
      <c r="P41" s="459"/>
      <c r="Q41" s="459">
        <f>Q40*10%</f>
        <v>776</v>
      </c>
      <c r="R41" s="459">
        <f t="shared" si="31"/>
        <v>0</v>
      </c>
      <c r="S41" s="459"/>
      <c r="T41" s="459"/>
      <c r="U41" s="461">
        <f>V41+W41</f>
        <v>0</v>
      </c>
      <c r="V41" s="459"/>
      <c r="W41" s="459"/>
      <c r="X41" s="525"/>
      <c r="Y41" s="459">
        <f t="shared" si="7"/>
        <v>0</v>
      </c>
      <c r="Z41" s="459"/>
      <c r="AA41" s="459"/>
      <c r="AB41" s="459"/>
      <c r="AC41" s="459">
        <f t="shared" si="8"/>
        <v>0</v>
      </c>
      <c r="AD41" s="459"/>
      <c r="AE41" s="459"/>
      <c r="AF41" s="459"/>
      <c r="AG41" s="513">
        <f t="shared" si="9"/>
        <v>776</v>
      </c>
      <c r="AH41" s="520"/>
      <c r="AI41" s="520"/>
      <c r="AJ41" s="520"/>
      <c r="AK41" s="520"/>
      <c r="AL41" s="514"/>
      <c r="AM41" s="514"/>
      <c r="AN41" s="513"/>
      <c r="AO41" s="450"/>
      <c r="AP41" s="442"/>
      <c r="AQ41" s="442"/>
      <c r="AR41" s="442"/>
      <c r="AS41" s="442"/>
      <c r="AT41" s="442"/>
      <c r="AU41" s="446"/>
    </row>
    <row r="42" spans="1:48" s="494" customFormat="1" ht="21" customHeight="1">
      <c r="A42" s="428">
        <v>2</v>
      </c>
      <c r="B42" s="433" t="s">
        <v>388</v>
      </c>
      <c r="C42" s="545">
        <f t="shared" si="3"/>
        <v>0</v>
      </c>
      <c r="D42" s="433">
        <f>D43+D46</f>
        <v>0</v>
      </c>
      <c r="E42" s="433">
        <f t="shared" ref="E42:J42" si="38">E43+E46</f>
        <v>0</v>
      </c>
      <c r="F42" s="433">
        <f t="shared" si="38"/>
        <v>0</v>
      </c>
      <c r="G42" s="433">
        <f t="shared" ref="G42" si="39">G43+G46</f>
        <v>0</v>
      </c>
      <c r="H42" s="433">
        <f t="shared" ref="H42" si="40">H43+H46</f>
        <v>0</v>
      </c>
      <c r="I42" s="433">
        <f t="shared" si="38"/>
        <v>0</v>
      </c>
      <c r="J42" s="433">
        <f t="shared" si="38"/>
        <v>0</v>
      </c>
      <c r="K42" s="458">
        <f t="shared" si="23"/>
        <v>78850</v>
      </c>
      <c r="L42" s="458">
        <f t="shared" si="15"/>
        <v>34560</v>
      </c>
      <c r="M42" s="458">
        <f>M43+M46</f>
        <v>13200</v>
      </c>
      <c r="N42" s="458">
        <f>N43+N46</f>
        <v>21360</v>
      </c>
      <c r="O42" s="458">
        <f>P42+Q42</f>
        <v>34560</v>
      </c>
      <c r="P42" s="458">
        <f>P43+P46</f>
        <v>13200</v>
      </c>
      <c r="Q42" s="458">
        <f>Q43+Q46</f>
        <v>21360</v>
      </c>
      <c r="R42" s="458">
        <f t="shared" si="31"/>
        <v>0</v>
      </c>
      <c r="S42" s="458"/>
      <c r="T42" s="458"/>
      <c r="U42" s="458">
        <f>V42+W42</f>
        <v>44290</v>
      </c>
      <c r="V42" s="458">
        <f>V43+V46</f>
        <v>44290</v>
      </c>
      <c r="W42" s="458">
        <f>W43+W46</f>
        <v>0</v>
      </c>
      <c r="X42" s="522">
        <f>X43+X46</f>
        <v>0</v>
      </c>
      <c r="Y42" s="458">
        <f t="shared" si="7"/>
        <v>0</v>
      </c>
      <c r="Z42" s="458"/>
      <c r="AA42" s="458"/>
      <c r="AB42" s="458"/>
      <c r="AC42" s="458">
        <f t="shared" si="8"/>
        <v>0</v>
      </c>
      <c r="AD42" s="458"/>
      <c r="AE42" s="458"/>
      <c r="AF42" s="458"/>
      <c r="AG42" s="513">
        <f t="shared" si="9"/>
        <v>78850</v>
      </c>
      <c r="AH42" s="512"/>
      <c r="AI42" s="512"/>
      <c r="AJ42" s="512"/>
      <c r="AK42" s="512"/>
      <c r="AL42" s="514"/>
      <c r="AM42" s="514"/>
      <c r="AN42" s="513"/>
      <c r="AO42" s="449">
        <v>78850</v>
      </c>
      <c r="AP42" s="492">
        <f>K42-AO42</f>
        <v>0</v>
      </c>
      <c r="AQ42" s="441">
        <f>AR42+AS42</f>
        <v>0</v>
      </c>
      <c r="AR42" s="492">
        <f>AP42</f>
        <v>0</v>
      </c>
      <c r="AS42" s="492"/>
      <c r="AT42" s="492"/>
      <c r="AU42" s="493">
        <f>'BTC-Chinh thuc'!M138</f>
        <v>-19919.228724999994</v>
      </c>
    </row>
    <row r="43" spans="1:48" ht="21" customHeight="1">
      <c r="A43" s="431" t="s">
        <v>61</v>
      </c>
      <c r="B43" s="436" t="s">
        <v>401</v>
      </c>
      <c r="C43" s="545">
        <f t="shared" si="3"/>
        <v>0</v>
      </c>
      <c r="D43" s="436"/>
      <c r="E43" s="436"/>
      <c r="F43" s="436"/>
      <c r="G43" s="436"/>
      <c r="H43" s="436"/>
      <c r="I43" s="436"/>
      <c r="J43" s="436"/>
      <c r="K43" s="461">
        <f t="shared" si="23"/>
        <v>57490</v>
      </c>
      <c r="L43" s="461">
        <f t="shared" si="15"/>
        <v>13200</v>
      </c>
      <c r="M43" s="461">
        <f>M44+M45</f>
        <v>13200</v>
      </c>
      <c r="N43" s="461">
        <f>N44+N45</f>
        <v>0</v>
      </c>
      <c r="O43" s="461">
        <f t="shared" si="35"/>
        <v>13200</v>
      </c>
      <c r="P43" s="461">
        <f>P44+P45</f>
        <v>13200</v>
      </c>
      <c r="Q43" s="461"/>
      <c r="R43" s="461">
        <f t="shared" si="31"/>
        <v>0</v>
      </c>
      <c r="S43" s="461"/>
      <c r="T43" s="461"/>
      <c r="U43" s="461">
        <f t="shared" si="36"/>
        <v>44290</v>
      </c>
      <c r="V43" s="461">
        <f>V44+V45</f>
        <v>44290</v>
      </c>
      <c r="W43" s="461">
        <f>W44+W45</f>
        <v>0</v>
      </c>
      <c r="X43" s="526"/>
      <c r="Y43" s="461">
        <f t="shared" si="7"/>
        <v>0</v>
      </c>
      <c r="Z43" s="461"/>
      <c r="AA43" s="461"/>
      <c r="AB43" s="461"/>
      <c r="AC43" s="461">
        <f t="shared" si="8"/>
        <v>0</v>
      </c>
      <c r="AD43" s="461"/>
      <c r="AE43" s="461"/>
      <c r="AF43" s="461"/>
      <c r="AG43" s="513">
        <f t="shared" si="9"/>
        <v>57490</v>
      </c>
      <c r="AH43" s="513"/>
      <c r="AI43" s="513"/>
      <c r="AJ43" s="513"/>
      <c r="AK43" s="513"/>
      <c r="AL43" s="514"/>
      <c r="AM43" s="514"/>
      <c r="AN43" s="513"/>
      <c r="AO43" s="451"/>
    </row>
    <row r="44" spans="1:48" s="424" customFormat="1" ht="21" customHeight="1">
      <c r="A44" s="432" t="s">
        <v>433</v>
      </c>
      <c r="B44" s="435" t="s">
        <v>455</v>
      </c>
      <c r="C44" s="545">
        <f t="shared" si="3"/>
        <v>0</v>
      </c>
      <c r="D44" s="435"/>
      <c r="E44" s="435"/>
      <c r="F44" s="435"/>
      <c r="G44" s="435"/>
      <c r="H44" s="435"/>
      <c r="I44" s="435"/>
      <c r="J44" s="435"/>
      <c r="K44" s="459">
        <f t="shared" si="23"/>
        <v>37029</v>
      </c>
      <c r="L44" s="461">
        <f t="shared" si="15"/>
        <v>10217</v>
      </c>
      <c r="M44" s="459">
        <f t="shared" ref="M44:N47" si="41">P44+S44</f>
        <v>10217</v>
      </c>
      <c r="N44" s="459">
        <f t="shared" si="41"/>
        <v>0</v>
      </c>
      <c r="O44" s="459">
        <f t="shared" si="35"/>
        <v>10217</v>
      </c>
      <c r="P44" s="459">
        <v>10217</v>
      </c>
      <c r="Q44" s="459"/>
      <c r="R44" s="459">
        <f t="shared" si="31"/>
        <v>0</v>
      </c>
      <c r="S44" s="459"/>
      <c r="T44" s="459"/>
      <c r="U44" s="459">
        <f t="shared" si="36"/>
        <v>26812</v>
      </c>
      <c r="V44" s="459">
        <v>26812</v>
      </c>
      <c r="W44" s="459"/>
      <c r="X44" s="525"/>
      <c r="Y44" s="459">
        <f t="shared" si="7"/>
        <v>0</v>
      </c>
      <c r="Z44" s="459"/>
      <c r="AA44" s="459"/>
      <c r="AB44" s="459"/>
      <c r="AC44" s="459">
        <f t="shared" si="8"/>
        <v>0</v>
      </c>
      <c r="AD44" s="459"/>
      <c r="AE44" s="459"/>
      <c r="AF44" s="459"/>
      <c r="AG44" s="513">
        <f t="shared" si="9"/>
        <v>37029</v>
      </c>
      <c r="AH44" s="520"/>
      <c r="AI44" s="520"/>
      <c r="AJ44" s="520"/>
      <c r="AK44" s="520"/>
      <c r="AL44" s="514"/>
      <c r="AM44" s="514"/>
      <c r="AN44" s="513"/>
      <c r="AO44" s="450"/>
      <c r="AP44" s="442"/>
      <c r="AQ44" s="442"/>
      <c r="AR44" s="442"/>
      <c r="AS44" s="442"/>
      <c r="AT44" s="442"/>
      <c r="AU44" s="446"/>
    </row>
    <row r="45" spans="1:48" s="424" customFormat="1">
      <c r="A45" s="432" t="s">
        <v>433</v>
      </c>
      <c r="B45" s="435" t="s">
        <v>456</v>
      </c>
      <c r="C45" s="545">
        <f t="shared" si="3"/>
        <v>0</v>
      </c>
      <c r="D45" s="435"/>
      <c r="E45" s="435"/>
      <c r="F45" s="435"/>
      <c r="G45" s="435"/>
      <c r="H45" s="435"/>
      <c r="I45" s="435"/>
      <c r="J45" s="435"/>
      <c r="K45" s="459">
        <f t="shared" si="23"/>
        <v>20461</v>
      </c>
      <c r="L45" s="461">
        <f t="shared" si="15"/>
        <v>2983</v>
      </c>
      <c r="M45" s="459">
        <f t="shared" si="41"/>
        <v>2983</v>
      </c>
      <c r="N45" s="459">
        <f t="shared" si="41"/>
        <v>0</v>
      </c>
      <c r="O45" s="459">
        <f t="shared" si="35"/>
        <v>2983</v>
      </c>
      <c r="P45" s="459">
        <v>2983</v>
      </c>
      <c r="Q45" s="459"/>
      <c r="R45" s="459">
        <f t="shared" si="31"/>
        <v>0</v>
      </c>
      <c r="S45" s="459"/>
      <c r="T45" s="459"/>
      <c r="U45" s="459">
        <f t="shared" si="36"/>
        <v>17478</v>
      </c>
      <c r="V45" s="459">
        <f>23238-5252-508</f>
        <v>17478</v>
      </c>
      <c r="W45" s="459"/>
      <c r="X45" s="525"/>
      <c r="Y45" s="459">
        <f t="shared" si="7"/>
        <v>0</v>
      </c>
      <c r="Z45" s="459"/>
      <c r="AA45" s="459"/>
      <c r="AB45" s="459"/>
      <c r="AC45" s="459">
        <f t="shared" si="8"/>
        <v>0</v>
      </c>
      <c r="AD45" s="459"/>
      <c r="AE45" s="459"/>
      <c r="AF45" s="459"/>
      <c r="AG45" s="513">
        <f t="shared" si="9"/>
        <v>20461</v>
      </c>
      <c r="AH45" s="520"/>
      <c r="AI45" s="520"/>
      <c r="AJ45" s="520"/>
      <c r="AK45" s="520"/>
      <c r="AL45" s="514"/>
      <c r="AM45" s="514"/>
      <c r="AN45" s="513"/>
      <c r="AO45" s="450"/>
      <c r="AP45" s="442"/>
      <c r="AQ45" s="442"/>
      <c r="AR45" s="442"/>
      <c r="AS45" s="442"/>
      <c r="AT45" s="442"/>
      <c r="AU45" s="446"/>
    </row>
    <row r="46" spans="1:48" ht="21" customHeight="1">
      <c r="A46" s="431" t="s">
        <v>63</v>
      </c>
      <c r="B46" s="480" t="s">
        <v>402</v>
      </c>
      <c r="C46" s="545">
        <f t="shared" si="3"/>
        <v>0</v>
      </c>
      <c r="D46" s="480"/>
      <c r="E46" s="480"/>
      <c r="F46" s="480"/>
      <c r="G46" s="480"/>
      <c r="H46" s="480"/>
      <c r="I46" s="480"/>
      <c r="J46" s="480"/>
      <c r="K46" s="461">
        <f t="shared" si="23"/>
        <v>21360</v>
      </c>
      <c r="L46" s="461">
        <f t="shared" si="15"/>
        <v>21360</v>
      </c>
      <c r="M46" s="459">
        <f t="shared" si="41"/>
        <v>0</v>
      </c>
      <c r="N46" s="459">
        <f t="shared" si="41"/>
        <v>21360</v>
      </c>
      <c r="O46" s="461">
        <f t="shared" si="35"/>
        <v>21360</v>
      </c>
      <c r="P46" s="461"/>
      <c r="Q46" s="461">
        <f>15600+5252+508</f>
        <v>21360</v>
      </c>
      <c r="R46" s="461">
        <f t="shared" si="31"/>
        <v>0</v>
      </c>
      <c r="S46" s="461"/>
      <c r="T46" s="461"/>
      <c r="U46" s="461">
        <f t="shared" si="36"/>
        <v>0</v>
      </c>
      <c r="V46" s="461"/>
      <c r="W46" s="461"/>
      <c r="X46" s="526"/>
      <c r="Y46" s="461">
        <f t="shared" si="7"/>
        <v>0</v>
      </c>
      <c r="Z46" s="461"/>
      <c r="AA46" s="461"/>
      <c r="AB46" s="461"/>
      <c r="AC46" s="461">
        <f t="shared" si="8"/>
        <v>0</v>
      </c>
      <c r="AD46" s="461"/>
      <c r="AE46" s="461"/>
      <c r="AF46" s="461"/>
      <c r="AG46" s="513">
        <f t="shared" si="9"/>
        <v>21360</v>
      </c>
      <c r="AH46" s="513"/>
      <c r="AI46" s="513"/>
      <c r="AJ46" s="513"/>
      <c r="AK46" s="513"/>
      <c r="AL46" s="514"/>
      <c r="AM46" s="514"/>
      <c r="AN46" s="513"/>
      <c r="AO46" s="451"/>
    </row>
    <row r="47" spans="1:48" s="424" customFormat="1" ht="23.25" customHeight="1">
      <c r="A47" s="432"/>
      <c r="B47" s="439" t="s">
        <v>443</v>
      </c>
      <c r="C47" s="545">
        <f t="shared" si="3"/>
        <v>0</v>
      </c>
      <c r="D47" s="439"/>
      <c r="E47" s="439"/>
      <c r="F47" s="439"/>
      <c r="G47" s="439"/>
      <c r="H47" s="439"/>
      <c r="I47" s="439"/>
      <c r="J47" s="439"/>
      <c r="K47" s="459">
        <f t="shared" si="23"/>
        <v>2136</v>
      </c>
      <c r="L47" s="461">
        <f t="shared" si="15"/>
        <v>2136</v>
      </c>
      <c r="M47" s="459">
        <f t="shared" si="41"/>
        <v>0</v>
      </c>
      <c r="N47" s="459">
        <f t="shared" si="41"/>
        <v>2136</v>
      </c>
      <c r="O47" s="459">
        <f>P47+Q47</f>
        <v>2136</v>
      </c>
      <c r="P47" s="459"/>
      <c r="Q47" s="459">
        <f>Q46*10%</f>
        <v>2136</v>
      </c>
      <c r="R47" s="459">
        <f t="shared" si="31"/>
        <v>0</v>
      </c>
      <c r="S47" s="459"/>
      <c r="T47" s="459"/>
      <c r="U47" s="461">
        <f>V47+W47</f>
        <v>0</v>
      </c>
      <c r="V47" s="459"/>
      <c r="W47" s="459"/>
      <c r="X47" s="525"/>
      <c r="Y47" s="459">
        <f t="shared" si="7"/>
        <v>0</v>
      </c>
      <c r="Z47" s="459"/>
      <c r="AA47" s="459"/>
      <c r="AB47" s="459"/>
      <c r="AC47" s="459">
        <f t="shared" si="8"/>
        <v>0</v>
      </c>
      <c r="AD47" s="459"/>
      <c r="AE47" s="459"/>
      <c r="AF47" s="459"/>
      <c r="AG47" s="513">
        <f t="shared" si="9"/>
        <v>2136</v>
      </c>
      <c r="AH47" s="520"/>
      <c r="AI47" s="520"/>
      <c r="AJ47" s="520"/>
      <c r="AK47" s="520"/>
      <c r="AL47" s="514"/>
      <c r="AM47" s="514"/>
      <c r="AN47" s="513"/>
      <c r="AO47" s="450"/>
      <c r="AP47" s="442"/>
      <c r="AQ47" s="442"/>
      <c r="AR47" s="442"/>
      <c r="AS47" s="442"/>
      <c r="AT47" s="442"/>
      <c r="AU47" s="446"/>
    </row>
    <row r="48" spans="1:48" s="434" customFormat="1" ht="31.5">
      <c r="A48" s="428">
        <v>3</v>
      </c>
      <c r="B48" s="433" t="s">
        <v>389</v>
      </c>
      <c r="C48" s="545">
        <f t="shared" si="3"/>
        <v>0</v>
      </c>
      <c r="D48" s="433">
        <f>D49+D52+D55+D62</f>
        <v>0</v>
      </c>
      <c r="E48" s="433">
        <f t="shared" ref="E48:J48" si="42">E49+E52+E55+E62</f>
        <v>0</v>
      </c>
      <c r="F48" s="433">
        <f t="shared" si="42"/>
        <v>0</v>
      </c>
      <c r="G48" s="433">
        <f t="shared" ref="G48" si="43">G49+G52+G55+G62</f>
        <v>0</v>
      </c>
      <c r="H48" s="433">
        <f t="shared" ref="H48" si="44">H49+H52+H55+H62</f>
        <v>0</v>
      </c>
      <c r="I48" s="433">
        <f t="shared" si="42"/>
        <v>0</v>
      </c>
      <c r="J48" s="433">
        <f t="shared" si="42"/>
        <v>0</v>
      </c>
      <c r="K48" s="458">
        <f>K49+K52+K55+K62</f>
        <v>3857806</v>
      </c>
      <c r="L48" s="458">
        <f>M48+N48</f>
        <v>935459</v>
      </c>
      <c r="M48" s="458">
        <f>M49+M52+M55+M62</f>
        <v>633618</v>
      </c>
      <c r="N48" s="458">
        <f>N49+N52+N55+N62</f>
        <v>301841</v>
      </c>
      <c r="O48" s="458">
        <f>P48+Q48</f>
        <v>935459</v>
      </c>
      <c r="P48" s="458">
        <f>P49+P52+P55+P62</f>
        <v>633618</v>
      </c>
      <c r="Q48" s="458">
        <f>Q49+Q52+Q55+Q62</f>
        <v>301841</v>
      </c>
      <c r="R48" s="458">
        <f t="shared" si="31"/>
        <v>0</v>
      </c>
      <c r="S48" s="458">
        <f>S49+S52+S55+S62</f>
        <v>0</v>
      </c>
      <c r="T48" s="458">
        <f>T49+T52+T55+T62</f>
        <v>0</v>
      </c>
      <c r="U48" s="458">
        <f>V48+W48</f>
        <v>2922347</v>
      </c>
      <c r="V48" s="458">
        <f>V49+V52+V55+V62</f>
        <v>2812832</v>
      </c>
      <c r="W48" s="458">
        <f>W49+W52+W55+W62</f>
        <v>109515</v>
      </c>
      <c r="X48" s="522">
        <f>X49+X52+X55+X62</f>
        <v>0</v>
      </c>
      <c r="Y48" s="458">
        <f t="shared" si="7"/>
        <v>0</v>
      </c>
      <c r="Z48" s="458">
        <f>Z49+Z52+Z55+Z62</f>
        <v>0</v>
      </c>
      <c r="AA48" s="458">
        <f>AA49+AA52+AA55+AA62</f>
        <v>0</v>
      </c>
      <c r="AB48" s="458">
        <f>AB49+AB52+AB55+AB62</f>
        <v>0</v>
      </c>
      <c r="AC48" s="458">
        <f t="shared" si="8"/>
        <v>0</v>
      </c>
      <c r="AD48" s="458">
        <f>AD49+AD52+AD55+AD62</f>
        <v>0</v>
      </c>
      <c r="AE48" s="458">
        <f>AE49+AE52+AE55+AE62</f>
        <v>0</v>
      </c>
      <c r="AF48" s="458">
        <f>AF49+AF52+AF55+AF62</f>
        <v>0</v>
      </c>
      <c r="AG48" s="513">
        <f t="shared" si="9"/>
        <v>3857806</v>
      </c>
      <c r="AH48" s="512"/>
      <c r="AI48" s="512"/>
      <c r="AJ48" s="512"/>
      <c r="AK48" s="512"/>
      <c r="AL48" s="514"/>
      <c r="AM48" s="514"/>
      <c r="AN48" s="513"/>
      <c r="AO48" s="449">
        <v>3939758</v>
      </c>
      <c r="AP48" s="441">
        <f>K48-AO48</f>
        <v>-81952</v>
      </c>
      <c r="AQ48" s="441">
        <f>K48</f>
        <v>3857806</v>
      </c>
      <c r="AR48" s="441">
        <f>AQ48</f>
        <v>3857806</v>
      </c>
      <c r="AS48" s="441"/>
      <c r="AT48" s="441"/>
      <c r="AU48" s="445"/>
    </row>
    <row r="49" spans="1:47" ht="21" customHeight="1">
      <c r="A49" s="431" t="s">
        <v>67</v>
      </c>
      <c r="B49" s="436" t="s">
        <v>435</v>
      </c>
      <c r="C49" s="545">
        <f t="shared" si="3"/>
        <v>0</v>
      </c>
      <c r="D49" s="436"/>
      <c r="E49" s="436"/>
      <c r="F49" s="436"/>
      <c r="G49" s="436"/>
      <c r="H49" s="436"/>
      <c r="I49" s="436"/>
      <c r="J49" s="436"/>
      <c r="K49" s="461">
        <f t="shared" si="23"/>
        <v>3243860</v>
      </c>
      <c r="L49" s="461">
        <f t="shared" si="15"/>
        <v>454668</v>
      </c>
      <c r="M49" s="461">
        <f>M50+M51</f>
        <v>454668</v>
      </c>
      <c r="N49" s="461">
        <f>N50+N51</f>
        <v>0</v>
      </c>
      <c r="O49" s="461">
        <f t="shared" si="35"/>
        <v>454668</v>
      </c>
      <c r="P49" s="461">
        <f>P50+P51</f>
        <v>454668</v>
      </c>
      <c r="Q49" s="461">
        <f>Q50+Q51</f>
        <v>0</v>
      </c>
      <c r="R49" s="461">
        <f t="shared" si="31"/>
        <v>0</v>
      </c>
      <c r="S49" s="461"/>
      <c r="T49" s="461"/>
      <c r="U49" s="461">
        <f>V49+W49</f>
        <v>2789192</v>
      </c>
      <c r="V49" s="461">
        <f>V50+V51</f>
        <v>2679677</v>
      </c>
      <c r="W49" s="461">
        <f>W50+W51</f>
        <v>109515</v>
      </c>
      <c r="X49" s="526">
        <f>X51</f>
        <v>0</v>
      </c>
      <c r="Y49" s="461">
        <f t="shared" si="7"/>
        <v>0</v>
      </c>
      <c r="Z49" s="461"/>
      <c r="AA49" s="461"/>
      <c r="AB49" s="461"/>
      <c r="AC49" s="461">
        <f t="shared" si="8"/>
        <v>0</v>
      </c>
      <c r="AD49" s="461"/>
      <c r="AE49" s="461"/>
      <c r="AF49" s="461"/>
      <c r="AG49" s="513">
        <f t="shared" si="9"/>
        <v>3243860</v>
      </c>
      <c r="AH49" s="513"/>
      <c r="AI49" s="513"/>
      <c r="AJ49" s="513"/>
      <c r="AK49" s="513"/>
      <c r="AL49" s="514"/>
      <c r="AM49" s="514"/>
      <c r="AN49" s="513"/>
      <c r="AO49" s="451"/>
      <c r="AQ49" s="440">
        <f>O49</f>
        <v>454668</v>
      </c>
      <c r="AR49" s="440">
        <f>AQ49</f>
        <v>454668</v>
      </c>
    </row>
    <row r="50" spans="1:47" s="424" customFormat="1" ht="21" customHeight="1">
      <c r="A50" s="432" t="s">
        <v>433</v>
      </c>
      <c r="B50" s="435" t="s">
        <v>37</v>
      </c>
      <c r="C50" s="545">
        <f t="shared" si="3"/>
        <v>0</v>
      </c>
      <c r="D50" s="435"/>
      <c r="E50" s="435"/>
      <c r="F50" s="435"/>
      <c r="G50" s="435"/>
      <c r="H50" s="435"/>
      <c r="I50" s="435"/>
      <c r="J50" s="435"/>
      <c r="K50" s="459">
        <f t="shared" si="23"/>
        <v>3039849</v>
      </c>
      <c r="L50" s="461">
        <f t="shared" si="15"/>
        <v>358387</v>
      </c>
      <c r="M50" s="459">
        <f>P50+S50</f>
        <v>358387</v>
      </c>
      <c r="N50" s="459">
        <f>Q50+T50</f>
        <v>0</v>
      </c>
      <c r="O50" s="459">
        <f t="shared" si="35"/>
        <v>358387</v>
      </c>
      <c r="P50" s="459">
        <v>358387</v>
      </c>
      <c r="Q50" s="459"/>
      <c r="R50" s="459">
        <f t="shared" si="31"/>
        <v>0</v>
      </c>
      <c r="S50" s="459"/>
      <c r="T50" s="459"/>
      <c r="U50" s="459">
        <f t="shared" si="36"/>
        <v>2681462</v>
      </c>
      <c r="V50" s="459">
        <v>2571947</v>
      </c>
      <c r="W50" s="459">
        <v>109515</v>
      </c>
      <c r="X50" s="525"/>
      <c r="Y50" s="459">
        <f t="shared" si="7"/>
        <v>0</v>
      </c>
      <c r="Z50" s="459"/>
      <c r="AA50" s="459"/>
      <c r="AB50" s="459"/>
      <c r="AC50" s="459">
        <f t="shared" si="8"/>
        <v>0</v>
      </c>
      <c r="AD50" s="459"/>
      <c r="AE50" s="459"/>
      <c r="AF50" s="459"/>
      <c r="AG50" s="513">
        <f t="shared" si="9"/>
        <v>3039849</v>
      </c>
      <c r="AH50" s="520"/>
      <c r="AI50" s="520"/>
      <c r="AJ50" s="520"/>
      <c r="AK50" s="520"/>
      <c r="AL50" s="514"/>
      <c r="AM50" s="514"/>
      <c r="AN50" s="513"/>
      <c r="AO50" s="450"/>
      <c r="AP50" s="442"/>
      <c r="AQ50" s="442"/>
      <c r="AR50" s="442"/>
      <c r="AS50" s="442"/>
      <c r="AT50" s="442"/>
      <c r="AU50" s="446"/>
    </row>
    <row r="51" spans="1:47" s="424" customFormat="1">
      <c r="A51" s="432" t="s">
        <v>433</v>
      </c>
      <c r="B51" s="435" t="s">
        <v>442</v>
      </c>
      <c r="C51" s="545">
        <f t="shared" si="3"/>
        <v>0</v>
      </c>
      <c r="D51" s="435"/>
      <c r="E51" s="435"/>
      <c r="F51" s="435"/>
      <c r="G51" s="435"/>
      <c r="H51" s="435"/>
      <c r="I51" s="435"/>
      <c r="J51" s="435"/>
      <c r="K51" s="459">
        <f t="shared" si="23"/>
        <v>204011</v>
      </c>
      <c r="L51" s="461">
        <f t="shared" si="15"/>
        <v>96281</v>
      </c>
      <c r="M51" s="459">
        <f>P51+S51</f>
        <v>96281</v>
      </c>
      <c r="N51" s="459">
        <f>Q51+T51</f>
        <v>0</v>
      </c>
      <c r="O51" s="459">
        <f t="shared" si="35"/>
        <v>96281</v>
      </c>
      <c r="P51" s="459">
        <f>36734+42979+3440+34770-21087-555</f>
        <v>96281</v>
      </c>
      <c r="Q51" s="459"/>
      <c r="R51" s="459">
        <f t="shared" si="31"/>
        <v>0</v>
      </c>
      <c r="S51" s="459"/>
      <c r="T51" s="459"/>
      <c r="U51" s="459">
        <f t="shared" si="36"/>
        <v>107730</v>
      </c>
      <c r="V51" s="459">
        <f>206171-V55</f>
        <v>107730</v>
      </c>
      <c r="W51" s="459"/>
      <c r="X51" s="525"/>
      <c r="Y51" s="459">
        <f t="shared" si="7"/>
        <v>0</v>
      </c>
      <c r="Z51" s="459"/>
      <c r="AA51" s="459"/>
      <c r="AB51" s="459"/>
      <c r="AC51" s="459">
        <f t="shared" si="8"/>
        <v>0</v>
      </c>
      <c r="AD51" s="459"/>
      <c r="AE51" s="459"/>
      <c r="AF51" s="459"/>
      <c r="AG51" s="513">
        <f t="shared" si="9"/>
        <v>204011</v>
      </c>
      <c r="AH51" s="520"/>
      <c r="AI51" s="520"/>
      <c r="AJ51" s="520"/>
      <c r="AK51" s="520"/>
      <c r="AL51" s="514"/>
      <c r="AM51" s="514"/>
      <c r="AN51" s="513"/>
      <c r="AO51" s="450"/>
      <c r="AP51" s="442"/>
      <c r="AQ51" s="442"/>
      <c r="AR51" s="442"/>
      <c r="AS51" s="442"/>
      <c r="AT51" s="442"/>
      <c r="AU51" s="446"/>
    </row>
    <row r="52" spans="1:47" ht="31.5">
      <c r="A52" s="431" t="s">
        <v>77</v>
      </c>
      <c r="B52" s="436" t="s">
        <v>434</v>
      </c>
      <c r="C52" s="545">
        <f t="shared" si="3"/>
        <v>0</v>
      </c>
      <c r="D52" s="436"/>
      <c r="E52" s="436"/>
      <c r="F52" s="436"/>
      <c r="G52" s="436"/>
      <c r="H52" s="436"/>
      <c r="I52" s="436"/>
      <c r="J52" s="436"/>
      <c r="K52" s="461">
        <f t="shared" si="23"/>
        <v>188974</v>
      </c>
      <c r="L52" s="461">
        <f t="shared" si="15"/>
        <v>154260</v>
      </c>
      <c r="M52" s="461">
        <f>M53+M54</f>
        <v>154260</v>
      </c>
      <c r="N52" s="461">
        <f>N53+N54</f>
        <v>0</v>
      </c>
      <c r="O52" s="461">
        <f t="shared" si="35"/>
        <v>154260</v>
      </c>
      <c r="P52" s="461">
        <f>P53+P54</f>
        <v>154260</v>
      </c>
      <c r="Q52" s="461">
        <f>Q53+Q54</f>
        <v>0</v>
      </c>
      <c r="R52" s="461">
        <f>S52+T52</f>
        <v>0</v>
      </c>
      <c r="S52" s="461">
        <f>S53+S54</f>
        <v>0</v>
      </c>
      <c r="T52" s="461">
        <f>T53+T54</f>
        <v>0</v>
      </c>
      <c r="U52" s="461">
        <f t="shared" si="36"/>
        <v>34714</v>
      </c>
      <c r="V52" s="461">
        <f>V53+V54</f>
        <v>34714</v>
      </c>
      <c r="W52" s="461">
        <f>W53+W54</f>
        <v>0</v>
      </c>
      <c r="X52" s="526">
        <f>X54</f>
        <v>0</v>
      </c>
      <c r="Y52" s="461">
        <f t="shared" si="7"/>
        <v>0</v>
      </c>
      <c r="Z52" s="461">
        <f>Z53+Z54</f>
        <v>0</v>
      </c>
      <c r="AA52" s="461">
        <f>AA53+AA54</f>
        <v>0</v>
      </c>
      <c r="AB52" s="461">
        <f>AB53+AB54</f>
        <v>0</v>
      </c>
      <c r="AC52" s="461">
        <f t="shared" si="8"/>
        <v>0</v>
      </c>
      <c r="AD52" s="461">
        <f>AD53+AD54</f>
        <v>0</v>
      </c>
      <c r="AE52" s="461">
        <f>AE53+AE54</f>
        <v>0</v>
      </c>
      <c r="AF52" s="461">
        <f>AF53+AF54</f>
        <v>0</v>
      </c>
      <c r="AG52" s="513">
        <f t="shared" si="9"/>
        <v>188974</v>
      </c>
      <c r="AH52" s="513"/>
      <c r="AI52" s="513"/>
      <c r="AJ52" s="513"/>
      <c r="AK52" s="513"/>
      <c r="AL52" s="514"/>
      <c r="AM52" s="514"/>
      <c r="AN52" s="513"/>
      <c r="AO52" s="451">
        <f>V51+V55</f>
        <v>206171</v>
      </c>
      <c r="AQ52" s="440">
        <f>O52</f>
        <v>154260</v>
      </c>
      <c r="AR52" s="440">
        <f>AQ52</f>
        <v>154260</v>
      </c>
    </row>
    <row r="53" spans="1:47" s="424" customFormat="1">
      <c r="A53" s="432"/>
      <c r="B53" s="435" t="s">
        <v>37</v>
      </c>
      <c r="C53" s="545">
        <f t="shared" si="3"/>
        <v>0</v>
      </c>
      <c r="D53" s="435"/>
      <c r="E53" s="435"/>
      <c r="F53" s="435"/>
      <c r="G53" s="435"/>
      <c r="H53" s="435"/>
      <c r="I53" s="435"/>
      <c r="J53" s="435"/>
      <c r="K53" s="459">
        <f t="shared" si="23"/>
        <v>125241</v>
      </c>
      <c r="L53" s="461">
        <f t="shared" si="15"/>
        <v>90527</v>
      </c>
      <c r="M53" s="459">
        <f>P53+S53</f>
        <v>90527</v>
      </c>
      <c r="N53" s="459">
        <f>Q53+T53</f>
        <v>0</v>
      </c>
      <c r="O53" s="459">
        <f t="shared" si="35"/>
        <v>90527</v>
      </c>
      <c r="P53" s="459">
        <v>90527</v>
      </c>
      <c r="Q53" s="459"/>
      <c r="R53" s="459">
        <f t="shared" si="31"/>
        <v>0</v>
      </c>
      <c r="S53" s="459"/>
      <c r="T53" s="459"/>
      <c r="U53" s="459">
        <f t="shared" si="36"/>
        <v>34714</v>
      </c>
      <c r="V53" s="459">
        <v>34714</v>
      </c>
      <c r="W53" s="459"/>
      <c r="X53" s="525"/>
      <c r="Y53" s="459">
        <f t="shared" si="7"/>
        <v>0</v>
      </c>
      <c r="Z53" s="459"/>
      <c r="AA53" s="459"/>
      <c r="AB53" s="459"/>
      <c r="AC53" s="459">
        <f t="shared" si="8"/>
        <v>0</v>
      </c>
      <c r="AD53" s="459"/>
      <c r="AE53" s="459"/>
      <c r="AF53" s="459"/>
      <c r="AG53" s="513">
        <f t="shared" si="9"/>
        <v>125241</v>
      </c>
      <c r="AH53" s="520"/>
      <c r="AI53" s="520"/>
      <c r="AJ53" s="520"/>
      <c r="AK53" s="520"/>
      <c r="AL53" s="514"/>
      <c r="AM53" s="514"/>
      <c r="AN53" s="513"/>
      <c r="AO53" s="450">
        <f>V55+V50+V51</f>
        <v>2778118</v>
      </c>
      <c r="AP53" s="442"/>
      <c r="AQ53" s="442"/>
      <c r="AR53" s="442"/>
      <c r="AS53" s="442"/>
      <c r="AT53" s="442"/>
      <c r="AU53" s="446"/>
    </row>
    <row r="54" spans="1:47" s="424" customFormat="1">
      <c r="A54" s="432"/>
      <c r="B54" s="435" t="s">
        <v>437</v>
      </c>
      <c r="C54" s="545">
        <f t="shared" si="3"/>
        <v>0</v>
      </c>
      <c r="D54" s="435"/>
      <c r="E54" s="435"/>
      <c r="F54" s="435"/>
      <c r="G54" s="435"/>
      <c r="H54" s="435"/>
      <c r="I54" s="435"/>
      <c r="J54" s="435"/>
      <c r="K54" s="459">
        <f t="shared" si="23"/>
        <v>63733</v>
      </c>
      <c r="L54" s="461">
        <f t="shared" si="15"/>
        <v>63733</v>
      </c>
      <c r="M54" s="459">
        <f>P54+S54</f>
        <v>63733</v>
      </c>
      <c r="N54" s="459">
        <f>Q54+T54</f>
        <v>0</v>
      </c>
      <c r="O54" s="459">
        <f t="shared" si="35"/>
        <v>63733</v>
      </c>
      <c r="P54" s="459">
        <f>26127+13100+199+16900-3048+10455</f>
        <v>63733</v>
      </c>
      <c r="Q54" s="459"/>
      <c r="R54" s="459">
        <f t="shared" si="31"/>
        <v>0</v>
      </c>
      <c r="S54" s="459"/>
      <c r="T54" s="459"/>
      <c r="U54" s="459">
        <f t="shared" si="36"/>
        <v>0</v>
      </c>
      <c r="V54" s="459"/>
      <c r="W54" s="459"/>
      <c r="X54" s="525"/>
      <c r="Y54" s="459">
        <f t="shared" si="7"/>
        <v>0</v>
      </c>
      <c r="Z54" s="459"/>
      <c r="AA54" s="459"/>
      <c r="AB54" s="459"/>
      <c r="AC54" s="459">
        <f t="shared" si="8"/>
        <v>0</v>
      </c>
      <c r="AD54" s="459"/>
      <c r="AE54" s="459"/>
      <c r="AF54" s="459"/>
      <c r="AG54" s="513">
        <f t="shared" si="9"/>
        <v>63733</v>
      </c>
      <c r="AH54" s="520"/>
      <c r="AI54" s="520"/>
      <c r="AJ54" s="520"/>
      <c r="AK54" s="520"/>
      <c r="AL54" s="514"/>
      <c r="AM54" s="514"/>
      <c r="AN54" s="513"/>
      <c r="AO54" s="450"/>
      <c r="AP54" s="442"/>
      <c r="AQ54" s="442"/>
      <c r="AR54" s="442"/>
      <c r="AS54" s="442"/>
      <c r="AT54" s="442"/>
      <c r="AU54" s="446"/>
    </row>
    <row r="55" spans="1:47">
      <c r="A55" s="431" t="s">
        <v>83</v>
      </c>
      <c r="B55" s="436" t="s">
        <v>445</v>
      </c>
      <c r="C55" s="545">
        <f t="shared" si="3"/>
        <v>0</v>
      </c>
      <c r="D55" s="436"/>
      <c r="E55" s="436"/>
      <c r="F55" s="436"/>
      <c r="G55" s="436"/>
      <c r="H55" s="436"/>
      <c r="I55" s="436"/>
      <c r="J55" s="436"/>
      <c r="K55" s="461">
        <f t="shared" si="23"/>
        <v>0</v>
      </c>
      <c r="L55" s="461">
        <f t="shared" si="15"/>
        <v>-98441</v>
      </c>
      <c r="M55" s="461">
        <f>M56+M57+M58+M59+M60+M61</f>
        <v>24690</v>
      </c>
      <c r="N55" s="461">
        <f>N56+N57+N58+N59+N60+N61</f>
        <v>-123131</v>
      </c>
      <c r="O55" s="461">
        <f>P55+Q55</f>
        <v>-98441</v>
      </c>
      <c r="P55" s="461">
        <f>SUM(P56:P61)</f>
        <v>24690</v>
      </c>
      <c r="Q55" s="461">
        <f>SUM(Q56:Q61)</f>
        <v>-123131</v>
      </c>
      <c r="R55" s="461">
        <f t="shared" si="31"/>
        <v>0</v>
      </c>
      <c r="S55" s="461"/>
      <c r="T55" s="461"/>
      <c r="U55" s="461">
        <f t="shared" si="36"/>
        <v>98441</v>
      </c>
      <c r="V55" s="461">
        <f>SUM(V56:V61)</f>
        <v>98441</v>
      </c>
      <c r="W55" s="461">
        <f>SUM(W56:W61)</f>
        <v>0</v>
      </c>
      <c r="X55" s="526"/>
      <c r="Y55" s="461">
        <f t="shared" si="7"/>
        <v>0</v>
      </c>
      <c r="Z55" s="461"/>
      <c r="AA55" s="461"/>
      <c r="AB55" s="461"/>
      <c r="AC55" s="461">
        <f t="shared" si="8"/>
        <v>0</v>
      </c>
      <c r="AD55" s="461"/>
      <c r="AE55" s="461"/>
      <c r="AF55" s="461"/>
      <c r="AG55" s="513">
        <f t="shared" si="9"/>
        <v>0</v>
      </c>
      <c r="AH55" s="513"/>
      <c r="AI55" s="513"/>
      <c r="AJ55" s="513"/>
      <c r="AK55" s="513"/>
      <c r="AL55" s="514"/>
      <c r="AM55" s="514"/>
      <c r="AN55" s="513"/>
      <c r="AO55" s="451"/>
      <c r="AP55" s="440">
        <v>173110</v>
      </c>
      <c r="AQ55" s="440">
        <f>O55</f>
        <v>-98441</v>
      </c>
      <c r="AR55" s="440">
        <f>AQ55</f>
        <v>-98441</v>
      </c>
    </row>
    <row r="56" spans="1:47" s="424" customFormat="1" ht="31.5">
      <c r="A56" s="432" t="s">
        <v>433</v>
      </c>
      <c r="B56" s="153" t="s">
        <v>366</v>
      </c>
      <c r="C56" s="545">
        <f t="shared" si="3"/>
        <v>0</v>
      </c>
      <c r="D56" s="153"/>
      <c r="E56" s="153"/>
      <c r="F56" s="153"/>
      <c r="G56" s="153"/>
      <c r="H56" s="153"/>
      <c r="I56" s="153"/>
      <c r="J56" s="153"/>
      <c r="K56" s="459">
        <f t="shared" si="23"/>
        <v>0</v>
      </c>
      <c r="L56" s="461">
        <f t="shared" si="15"/>
        <v>-20745</v>
      </c>
      <c r="M56" s="459">
        <f t="shared" ref="M56:M61" si="45">P56+S56</f>
        <v>21087</v>
      </c>
      <c r="N56" s="459">
        <f t="shared" ref="N56:N61" si="46">Q56+T56</f>
        <v>-41832</v>
      </c>
      <c r="O56" s="459">
        <f>P56+Q56</f>
        <v>-20745</v>
      </c>
      <c r="P56" s="459">
        <v>21087</v>
      </c>
      <c r="Q56" s="459">
        <f t="shared" ref="Q56:Q61" si="47">I56-P56-U56</f>
        <v>-41832</v>
      </c>
      <c r="R56" s="459">
        <f t="shared" si="31"/>
        <v>0</v>
      </c>
      <c r="S56" s="459"/>
      <c r="T56" s="459"/>
      <c r="U56" s="459">
        <f t="shared" si="36"/>
        <v>20745</v>
      </c>
      <c r="V56" s="459">
        <v>20745</v>
      </c>
      <c r="W56" s="459"/>
      <c r="X56" s="525"/>
      <c r="Y56" s="459">
        <f t="shared" si="7"/>
        <v>0</v>
      </c>
      <c r="Z56" s="459"/>
      <c r="AA56" s="459"/>
      <c r="AB56" s="459"/>
      <c r="AC56" s="459">
        <f t="shared" si="8"/>
        <v>0</v>
      </c>
      <c r="AD56" s="459"/>
      <c r="AE56" s="459"/>
      <c r="AF56" s="459"/>
      <c r="AG56" s="513">
        <f t="shared" si="9"/>
        <v>0</v>
      </c>
      <c r="AH56" s="520"/>
      <c r="AI56" s="520"/>
      <c r="AJ56" s="520"/>
      <c r="AK56" s="520"/>
      <c r="AL56" s="514"/>
      <c r="AM56" s="514"/>
      <c r="AN56" s="513"/>
      <c r="AO56" s="450"/>
      <c r="AP56" s="442"/>
      <c r="AQ56" s="442"/>
      <c r="AR56" s="442"/>
      <c r="AS56" s="442"/>
      <c r="AT56" s="442"/>
      <c r="AU56" s="446"/>
    </row>
    <row r="57" spans="1:47" s="424" customFormat="1" ht="31.5">
      <c r="A57" s="432" t="s">
        <v>433</v>
      </c>
      <c r="B57" s="502" t="s">
        <v>367</v>
      </c>
      <c r="C57" s="545">
        <f t="shared" si="3"/>
        <v>0</v>
      </c>
      <c r="D57" s="502"/>
      <c r="E57" s="502"/>
      <c r="F57" s="502"/>
      <c r="G57" s="502"/>
      <c r="H57" s="502"/>
      <c r="I57" s="502"/>
      <c r="J57" s="502"/>
      <c r="K57" s="459">
        <f t="shared" si="23"/>
        <v>0</v>
      </c>
      <c r="L57" s="461">
        <f t="shared" si="15"/>
        <v>-51070</v>
      </c>
      <c r="M57" s="459">
        <f t="shared" si="45"/>
        <v>0</v>
      </c>
      <c r="N57" s="459">
        <f t="shared" si="46"/>
        <v>-51070</v>
      </c>
      <c r="O57" s="459">
        <f t="shared" si="35"/>
        <v>-51070</v>
      </c>
      <c r="P57" s="459"/>
      <c r="Q57" s="459">
        <f t="shared" si="47"/>
        <v>-51070</v>
      </c>
      <c r="R57" s="459">
        <f t="shared" si="31"/>
        <v>0</v>
      </c>
      <c r="S57" s="459"/>
      <c r="T57" s="459"/>
      <c r="U57" s="459">
        <f t="shared" si="36"/>
        <v>51070</v>
      </c>
      <c r="V57" s="459">
        <v>51070</v>
      </c>
      <c r="W57" s="459"/>
      <c r="X57" s="525"/>
      <c r="Y57" s="459">
        <f t="shared" si="7"/>
        <v>0</v>
      </c>
      <c r="Z57" s="459"/>
      <c r="AA57" s="459"/>
      <c r="AB57" s="459"/>
      <c r="AC57" s="459">
        <f t="shared" si="8"/>
        <v>0</v>
      </c>
      <c r="AD57" s="459"/>
      <c r="AE57" s="459"/>
      <c r="AF57" s="459"/>
      <c r="AG57" s="513">
        <f t="shared" si="9"/>
        <v>0</v>
      </c>
      <c r="AH57" s="520"/>
      <c r="AI57" s="520"/>
      <c r="AJ57" s="520"/>
      <c r="AK57" s="520"/>
      <c r="AL57" s="514"/>
      <c r="AM57" s="514"/>
      <c r="AN57" s="513"/>
      <c r="AO57" s="450"/>
      <c r="AP57" s="442"/>
      <c r="AQ57" s="442"/>
      <c r="AR57" s="442"/>
      <c r="AS57" s="442"/>
      <c r="AT57" s="442"/>
      <c r="AU57" s="446"/>
    </row>
    <row r="58" spans="1:47" s="424" customFormat="1" ht="31.5">
      <c r="A58" s="432" t="s">
        <v>433</v>
      </c>
      <c r="B58" s="153" t="s">
        <v>215</v>
      </c>
      <c r="C58" s="545">
        <f t="shared" si="3"/>
        <v>0</v>
      </c>
      <c r="D58" s="153"/>
      <c r="E58" s="153"/>
      <c r="F58" s="153"/>
      <c r="G58" s="153"/>
      <c r="H58" s="153"/>
      <c r="I58" s="153"/>
      <c r="J58" s="153"/>
      <c r="K58" s="459">
        <f t="shared" si="23"/>
        <v>0</v>
      </c>
      <c r="L58" s="461">
        <f t="shared" si="15"/>
        <v>-22440</v>
      </c>
      <c r="M58" s="459">
        <f t="shared" si="45"/>
        <v>0</v>
      </c>
      <c r="N58" s="459">
        <f t="shared" si="46"/>
        <v>-22440</v>
      </c>
      <c r="O58" s="459">
        <f t="shared" si="35"/>
        <v>-22440</v>
      </c>
      <c r="P58" s="459"/>
      <c r="Q58" s="459">
        <f t="shared" si="47"/>
        <v>-22440</v>
      </c>
      <c r="R58" s="459">
        <f t="shared" si="31"/>
        <v>0</v>
      </c>
      <c r="S58" s="459"/>
      <c r="T58" s="459"/>
      <c r="U58" s="459">
        <f t="shared" si="36"/>
        <v>22440</v>
      </c>
      <c r="V58" s="459">
        <v>22440</v>
      </c>
      <c r="W58" s="459"/>
      <c r="X58" s="525"/>
      <c r="Y58" s="459">
        <f t="shared" si="7"/>
        <v>0</v>
      </c>
      <c r="Z58" s="459"/>
      <c r="AA58" s="459"/>
      <c r="AB58" s="459"/>
      <c r="AC58" s="459">
        <f t="shared" si="8"/>
        <v>0</v>
      </c>
      <c r="AD58" s="459"/>
      <c r="AE58" s="459"/>
      <c r="AF58" s="459"/>
      <c r="AG58" s="513">
        <f t="shared" si="9"/>
        <v>0</v>
      </c>
      <c r="AH58" s="520"/>
      <c r="AI58" s="520"/>
      <c r="AJ58" s="520"/>
      <c r="AK58" s="520"/>
      <c r="AL58" s="514"/>
      <c r="AM58" s="514"/>
      <c r="AN58" s="513"/>
      <c r="AO58" s="450"/>
      <c r="AP58" s="442"/>
      <c r="AQ58" s="442"/>
      <c r="AR58" s="442"/>
      <c r="AS58" s="442"/>
      <c r="AT58" s="442"/>
      <c r="AU58" s="446"/>
    </row>
    <row r="59" spans="1:47" s="424" customFormat="1" ht="31.5">
      <c r="A59" s="432" t="s">
        <v>433</v>
      </c>
      <c r="B59" s="502" t="s">
        <v>218</v>
      </c>
      <c r="C59" s="545">
        <f t="shared" si="3"/>
        <v>0</v>
      </c>
      <c r="D59" s="502"/>
      <c r="E59" s="502"/>
      <c r="F59" s="502"/>
      <c r="G59" s="502"/>
      <c r="H59" s="502"/>
      <c r="I59" s="502"/>
      <c r="J59" s="502"/>
      <c r="K59" s="459">
        <f t="shared" si="23"/>
        <v>0</v>
      </c>
      <c r="L59" s="461">
        <f t="shared" si="15"/>
        <v>-4186</v>
      </c>
      <c r="M59" s="459">
        <f t="shared" si="45"/>
        <v>555</v>
      </c>
      <c r="N59" s="459">
        <f t="shared" si="46"/>
        <v>-4741</v>
      </c>
      <c r="O59" s="459">
        <f t="shared" si="35"/>
        <v>-4186</v>
      </c>
      <c r="P59" s="459">
        <v>555</v>
      </c>
      <c r="Q59" s="459">
        <f t="shared" si="47"/>
        <v>-4741</v>
      </c>
      <c r="R59" s="459">
        <f t="shared" si="31"/>
        <v>0</v>
      </c>
      <c r="S59" s="459"/>
      <c r="T59" s="459"/>
      <c r="U59" s="459">
        <f t="shared" si="36"/>
        <v>4186</v>
      </c>
      <c r="V59" s="459">
        <v>4186</v>
      </c>
      <c r="W59" s="459"/>
      <c r="X59" s="525"/>
      <c r="Y59" s="459">
        <f t="shared" si="7"/>
        <v>0</v>
      </c>
      <c r="Z59" s="459"/>
      <c r="AA59" s="459"/>
      <c r="AB59" s="459"/>
      <c r="AC59" s="459">
        <f t="shared" si="8"/>
        <v>0</v>
      </c>
      <c r="AD59" s="459"/>
      <c r="AE59" s="459"/>
      <c r="AF59" s="459"/>
      <c r="AG59" s="513">
        <f t="shared" si="9"/>
        <v>0</v>
      </c>
      <c r="AH59" s="520"/>
      <c r="AI59" s="520"/>
      <c r="AJ59" s="520"/>
      <c r="AK59" s="520"/>
      <c r="AL59" s="514"/>
      <c r="AM59" s="514"/>
      <c r="AN59" s="513"/>
      <c r="AO59" s="450"/>
      <c r="AP59" s="442"/>
      <c r="AQ59" s="442"/>
      <c r="AR59" s="442"/>
      <c r="AS59" s="442"/>
      <c r="AT59" s="442"/>
      <c r="AU59" s="446"/>
    </row>
    <row r="60" spans="1:47" s="424" customFormat="1" ht="31.5">
      <c r="A60" s="432" t="s">
        <v>433</v>
      </c>
      <c r="B60" s="502" t="s">
        <v>219</v>
      </c>
      <c r="C60" s="545">
        <f t="shared" si="3"/>
        <v>0</v>
      </c>
      <c r="D60" s="502"/>
      <c r="E60" s="502"/>
      <c r="F60" s="502"/>
      <c r="G60" s="502"/>
      <c r="H60" s="502"/>
      <c r="I60" s="502"/>
      <c r="J60" s="502"/>
      <c r="K60" s="459">
        <f t="shared" si="23"/>
        <v>0</v>
      </c>
      <c r="L60" s="461">
        <f t="shared" si="15"/>
        <v>0</v>
      </c>
      <c r="M60" s="459">
        <f t="shared" si="45"/>
        <v>0</v>
      </c>
      <c r="N60" s="459">
        <f t="shared" si="46"/>
        <v>0</v>
      </c>
      <c r="O60" s="459">
        <f t="shared" si="35"/>
        <v>0</v>
      </c>
      <c r="P60" s="459"/>
      <c r="Q60" s="459">
        <f t="shared" si="47"/>
        <v>0</v>
      </c>
      <c r="R60" s="459">
        <f t="shared" si="31"/>
        <v>0</v>
      </c>
      <c r="S60" s="459"/>
      <c r="T60" s="459"/>
      <c r="U60" s="459">
        <f t="shared" si="36"/>
        <v>0</v>
      </c>
      <c r="V60" s="459"/>
      <c r="W60" s="459"/>
      <c r="X60" s="525"/>
      <c r="Y60" s="459">
        <f t="shared" si="7"/>
        <v>0</v>
      </c>
      <c r="Z60" s="459"/>
      <c r="AA60" s="459"/>
      <c r="AB60" s="459"/>
      <c r="AC60" s="459">
        <f t="shared" si="8"/>
        <v>0</v>
      </c>
      <c r="AD60" s="459"/>
      <c r="AE60" s="459"/>
      <c r="AF60" s="459"/>
      <c r="AG60" s="513">
        <f t="shared" si="9"/>
        <v>0</v>
      </c>
      <c r="AH60" s="520"/>
      <c r="AI60" s="520"/>
      <c r="AJ60" s="520"/>
      <c r="AK60" s="520"/>
      <c r="AL60" s="514"/>
      <c r="AM60" s="514"/>
      <c r="AN60" s="513"/>
      <c r="AO60" s="450"/>
      <c r="AP60" s="442"/>
      <c r="AQ60" s="442"/>
      <c r="AR60" s="442"/>
      <c r="AS60" s="442"/>
      <c r="AT60" s="442"/>
      <c r="AU60" s="446"/>
    </row>
    <row r="61" spans="1:47" s="424" customFormat="1" ht="63">
      <c r="A61" s="432" t="s">
        <v>433</v>
      </c>
      <c r="B61" s="466" t="s">
        <v>220</v>
      </c>
      <c r="C61" s="545">
        <f t="shared" si="3"/>
        <v>0</v>
      </c>
      <c r="D61" s="466"/>
      <c r="E61" s="466"/>
      <c r="F61" s="466"/>
      <c r="G61" s="466"/>
      <c r="H61" s="466"/>
      <c r="I61" s="466"/>
      <c r="J61" s="466"/>
      <c r="K61" s="459">
        <f t="shared" si="23"/>
        <v>0</v>
      </c>
      <c r="L61" s="461">
        <f t="shared" si="15"/>
        <v>0</v>
      </c>
      <c r="M61" s="459">
        <f t="shared" si="45"/>
        <v>3048</v>
      </c>
      <c r="N61" s="459">
        <f t="shared" si="46"/>
        <v>-3048</v>
      </c>
      <c r="O61" s="459">
        <f t="shared" si="35"/>
        <v>0</v>
      </c>
      <c r="P61" s="459">
        <v>3048</v>
      </c>
      <c r="Q61" s="459">
        <f t="shared" si="47"/>
        <v>-3048</v>
      </c>
      <c r="R61" s="459">
        <f t="shared" si="31"/>
        <v>0</v>
      </c>
      <c r="S61" s="459"/>
      <c r="T61" s="459"/>
      <c r="U61" s="459">
        <f t="shared" si="36"/>
        <v>0</v>
      </c>
      <c r="V61" s="459">
        <v>0</v>
      </c>
      <c r="W61" s="459"/>
      <c r="X61" s="525"/>
      <c r="Y61" s="459">
        <f t="shared" si="7"/>
        <v>0</v>
      </c>
      <c r="Z61" s="459"/>
      <c r="AA61" s="459"/>
      <c r="AB61" s="459"/>
      <c r="AC61" s="459">
        <f t="shared" si="8"/>
        <v>0</v>
      </c>
      <c r="AD61" s="459"/>
      <c r="AE61" s="459"/>
      <c r="AF61" s="459"/>
      <c r="AG61" s="513">
        <f t="shared" si="9"/>
        <v>0</v>
      </c>
      <c r="AH61" s="520"/>
      <c r="AI61" s="520"/>
      <c r="AJ61" s="520"/>
      <c r="AK61" s="520"/>
      <c r="AL61" s="514"/>
      <c r="AM61" s="514"/>
      <c r="AN61" s="513"/>
      <c r="AO61" s="450"/>
      <c r="AP61" s="442"/>
      <c r="AQ61" s="442"/>
      <c r="AR61" s="442"/>
      <c r="AS61" s="442"/>
      <c r="AT61" s="442"/>
      <c r="AU61" s="446"/>
    </row>
    <row r="62" spans="1:47">
      <c r="A62" s="431" t="s">
        <v>369</v>
      </c>
      <c r="B62" s="120" t="s">
        <v>402</v>
      </c>
      <c r="C62" s="545">
        <f t="shared" si="3"/>
        <v>0</v>
      </c>
      <c r="D62" s="120"/>
      <c r="E62" s="120"/>
      <c r="F62" s="120"/>
      <c r="G62" s="120"/>
      <c r="H62" s="120"/>
      <c r="I62" s="120"/>
      <c r="J62" s="120"/>
      <c r="K62" s="461">
        <f t="shared" si="23"/>
        <v>424972</v>
      </c>
      <c r="L62" s="461">
        <f>M62+N62</f>
        <v>424972</v>
      </c>
      <c r="M62" s="461">
        <f>M63+M64+M66</f>
        <v>0</v>
      </c>
      <c r="N62" s="461">
        <f>N63+N64+N66+N65</f>
        <v>424972</v>
      </c>
      <c r="O62" s="461">
        <f>SUM(O63:O66)</f>
        <v>424972</v>
      </c>
      <c r="P62" s="461">
        <f t="shared" ref="P62:X62" si="48">SUM(P63:P66)</f>
        <v>0</v>
      </c>
      <c r="Q62" s="461">
        <f>SUM(Q63:Q66)</f>
        <v>424972</v>
      </c>
      <c r="R62" s="461">
        <f>S62+T62</f>
        <v>0</v>
      </c>
      <c r="S62" s="461">
        <f>SUM(S63:S66)</f>
        <v>0</v>
      </c>
      <c r="T62" s="461">
        <f>SUM(T63:T66)</f>
        <v>0</v>
      </c>
      <c r="U62" s="461">
        <f t="shared" si="48"/>
        <v>0</v>
      </c>
      <c r="V62" s="461">
        <f t="shared" si="48"/>
        <v>0</v>
      </c>
      <c r="W62" s="461">
        <f t="shared" si="48"/>
        <v>0</v>
      </c>
      <c r="X62" s="523">
        <f t="shared" si="48"/>
        <v>0</v>
      </c>
      <c r="Y62" s="461">
        <f t="shared" si="7"/>
        <v>0</v>
      </c>
      <c r="Z62" s="461">
        <f>SUM(Z63:Z66)</f>
        <v>0</v>
      </c>
      <c r="AA62" s="461"/>
      <c r="AB62" s="461">
        <f>SUM(AB63:AB66)</f>
        <v>0</v>
      </c>
      <c r="AC62" s="461">
        <f t="shared" si="8"/>
        <v>0</v>
      </c>
      <c r="AD62" s="461">
        <f>SUM(AD63:AD66)</f>
        <v>0</v>
      </c>
      <c r="AE62" s="461"/>
      <c r="AF62" s="461">
        <f>SUM(AF63:AF66)</f>
        <v>0</v>
      </c>
      <c r="AG62" s="513">
        <f t="shared" si="9"/>
        <v>424972</v>
      </c>
      <c r="AH62" s="513"/>
      <c r="AI62" s="513"/>
      <c r="AJ62" s="513"/>
      <c r="AK62" s="513"/>
      <c r="AL62" s="514"/>
      <c r="AM62" s="514"/>
      <c r="AN62" s="513"/>
      <c r="AO62" s="451"/>
    </row>
    <row r="63" spans="1:47" s="424" customFormat="1" ht="31.5">
      <c r="A63" s="432" t="s">
        <v>433</v>
      </c>
      <c r="B63" s="435" t="s">
        <v>441</v>
      </c>
      <c r="C63" s="545">
        <f t="shared" si="3"/>
        <v>0</v>
      </c>
      <c r="D63" s="435"/>
      <c r="E63" s="435"/>
      <c r="F63" s="435"/>
      <c r="G63" s="435"/>
      <c r="H63" s="435"/>
      <c r="I63" s="435"/>
      <c r="J63" s="435"/>
      <c r="K63" s="461">
        <f t="shared" si="23"/>
        <v>117000</v>
      </c>
      <c r="L63" s="461">
        <f t="shared" si="15"/>
        <v>117000</v>
      </c>
      <c r="M63" s="459">
        <f t="shared" ref="M63:N67" si="49">P63+S63</f>
        <v>0</v>
      </c>
      <c r="N63" s="459">
        <f>Q63+T63</f>
        <v>117000</v>
      </c>
      <c r="O63" s="459">
        <f>P63+Q63</f>
        <v>117000</v>
      </c>
      <c r="P63" s="459"/>
      <c r="Q63" s="459">
        <v>117000</v>
      </c>
      <c r="R63" s="459">
        <f t="shared" si="31"/>
        <v>0</v>
      </c>
      <c r="S63" s="459"/>
      <c r="T63" s="459"/>
      <c r="U63" s="459">
        <f>V63+W63</f>
        <v>0</v>
      </c>
      <c r="V63" s="459"/>
      <c r="W63" s="459"/>
      <c r="X63" s="525"/>
      <c r="Y63" s="459">
        <f t="shared" si="7"/>
        <v>0</v>
      </c>
      <c r="Z63" s="459"/>
      <c r="AA63" s="459"/>
      <c r="AB63" s="459"/>
      <c r="AC63" s="459">
        <f t="shared" si="8"/>
        <v>0</v>
      </c>
      <c r="AD63" s="459"/>
      <c r="AE63" s="459"/>
      <c r="AF63" s="459"/>
      <c r="AG63" s="513">
        <f t="shared" si="9"/>
        <v>117000</v>
      </c>
      <c r="AH63" s="520"/>
      <c r="AI63" s="520"/>
      <c r="AJ63" s="520"/>
      <c r="AK63" s="520"/>
      <c r="AL63" s="514"/>
      <c r="AM63" s="514"/>
      <c r="AN63" s="513"/>
      <c r="AO63" s="450"/>
      <c r="AP63" s="442"/>
      <c r="AQ63" s="442"/>
      <c r="AR63" s="442"/>
      <c r="AS63" s="442"/>
      <c r="AT63" s="442"/>
      <c r="AU63" s="446"/>
    </row>
    <row r="64" spans="1:47" s="424" customFormat="1">
      <c r="A64" s="432" t="s">
        <v>433</v>
      </c>
      <c r="B64" s="435" t="s">
        <v>446</v>
      </c>
      <c r="C64" s="545">
        <f t="shared" si="3"/>
        <v>0</v>
      </c>
      <c r="D64" s="435"/>
      <c r="E64" s="435"/>
      <c r="F64" s="435"/>
      <c r="G64" s="435"/>
      <c r="H64" s="435"/>
      <c r="I64" s="435"/>
      <c r="J64" s="435"/>
      <c r="K64" s="461">
        <f t="shared" si="23"/>
        <v>3805</v>
      </c>
      <c r="L64" s="461">
        <f t="shared" si="15"/>
        <v>3805</v>
      </c>
      <c r="M64" s="459">
        <f t="shared" si="49"/>
        <v>0</v>
      </c>
      <c r="N64" s="459">
        <f>Q64+T64</f>
        <v>3805</v>
      </c>
      <c r="O64" s="459">
        <f t="shared" si="35"/>
        <v>3805</v>
      </c>
      <c r="P64" s="459"/>
      <c r="Q64" s="459">
        <f>2458+1347</f>
        <v>3805</v>
      </c>
      <c r="R64" s="459">
        <f t="shared" si="31"/>
        <v>0</v>
      </c>
      <c r="S64" s="459"/>
      <c r="T64" s="459"/>
      <c r="U64" s="459">
        <f t="shared" si="36"/>
        <v>0</v>
      </c>
      <c r="V64" s="459"/>
      <c r="W64" s="459"/>
      <c r="X64" s="525"/>
      <c r="Y64" s="459">
        <f t="shared" si="7"/>
        <v>0</v>
      </c>
      <c r="Z64" s="459"/>
      <c r="AA64" s="459"/>
      <c r="AB64" s="459"/>
      <c r="AC64" s="459">
        <f t="shared" si="8"/>
        <v>0</v>
      </c>
      <c r="AD64" s="459"/>
      <c r="AE64" s="459"/>
      <c r="AF64" s="459"/>
      <c r="AG64" s="513">
        <f t="shared" si="9"/>
        <v>3805</v>
      </c>
      <c r="AH64" s="520"/>
      <c r="AI64" s="520"/>
      <c r="AJ64" s="520"/>
      <c r="AK64" s="520"/>
      <c r="AL64" s="514"/>
      <c r="AM64" s="514"/>
      <c r="AN64" s="513"/>
      <c r="AO64" s="450"/>
      <c r="AP64" s="442"/>
      <c r="AQ64" s="442"/>
      <c r="AR64" s="442"/>
      <c r="AS64" s="442"/>
      <c r="AT64" s="442"/>
      <c r="AU64" s="446"/>
    </row>
    <row r="65" spans="1:47" s="424" customFormat="1">
      <c r="A65" s="432" t="s">
        <v>433</v>
      </c>
      <c r="B65" s="435" t="s">
        <v>465</v>
      </c>
      <c r="C65" s="545">
        <f t="shared" si="3"/>
        <v>0</v>
      </c>
      <c r="D65" s="435"/>
      <c r="E65" s="435"/>
      <c r="F65" s="435"/>
      <c r="G65" s="435"/>
      <c r="H65" s="435"/>
      <c r="I65" s="435"/>
      <c r="J65" s="435"/>
      <c r="K65" s="461">
        <f>L65+U65+X65</f>
        <v>173110</v>
      </c>
      <c r="L65" s="461">
        <f>M65+N65</f>
        <v>173110</v>
      </c>
      <c r="M65" s="459">
        <f>P65+S65</f>
        <v>0</v>
      </c>
      <c r="N65" s="459">
        <f>Q65+T65</f>
        <v>173110</v>
      </c>
      <c r="O65" s="459">
        <f t="shared" si="35"/>
        <v>173110</v>
      </c>
      <c r="P65" s="459"/>
      <c r="Q65" s="459">
        <v>173110</v>
      </c>
      <c r="R65" s="459"/>
      <c r="S65" s="459"/>
      <c r="T65" s="459"/>
      <c r="U65" s="459"/>
      <c r="V65" s="459"/>
      <c r="W65" s="459"/>
      <c r="X65" s="525"/>
      <c r="Y65" s="459">
        <f t="shared" si="7"/>
        <v>0</v>
      </c>
      <c r="Z65" s="459"/>
      <c r="AA65" s="459"/>
      <c r="AB65" s="459"/>
      <c r="AC65" s="459">
        <f t="shared" si="8"/>
        <v>0</v>
      </c>
      <c r="AD65" s="459"/>
      <c r="AE65" s="459"/>
      <c r="AF65" s="459"/>
      <c r="AG65" s="513">
        <f t="shared" si="9"/>
        <v>173110</v>
      </c>
      <c r="AH65" s="520"/>
      <c r="AI65" s="520"/>
      <c r="AJ65" s="520"/>
      <c r="AK65" s="520"/>
      <c r="AL65" s="514"/>
      <c r="AM65" s="514"/>
      <c r="AN65" s="513"/>
      <c r="AO65" s="450"/>
      <c r="AP65" s="442"/>
      <c r="AQ65" s="442"/>
      <c r="AR65" s="442"/>
      <c r="AS65" s="442"/>
      <c r="AT65" s="442"/>
      <c r="AU65" s="446"/>
    </row>
    <row r="66" spans="1:47" s="424" customFormat="1">
      <c r="A66" s="432" t="s">
        <v>433</v>
      </c>
      <c r="B66" s="435" t="s">
        <v>402</v>
      </c>
      <c r="C66" s="545">
        <f t="shared" si="3"/>
        <v>0</v>
      </c>
      <c r="D66" s="435"/>
      <c r="E66" s="435"/>
      <c r="F66" s="435"/>
      <c r="G66" s="435"/>
      <c r="H66" s="435"/>
      <c r="I66" s="435"/>
      <c r="J66" s="435"/>
      <c r="K66" s="461">
        <f t="shared" si="23"/>
        <v>131057</v>
      </c>
      <c r="L66" s="461">
        <f t="shared" si="15"/>
        <v>131057</v>
      </c>
      <c r="M66" s="459">
        <f t="shared" si="49"/>
        <v>0</v>
      </c>
      <c r="N66" s="459">
        <f t="shared" si="49"/>
        <v>131057</v>
      </c>
      <c r="O66" s="459">
        <f t="shared" si="35"/>
        <v>131057</v>
      </c>
      <c r="P66" s="459"/>
      <c r="Q66" s="459">
        <f>112785-4000+206-4000-2680-120+27076+2000-10-253+53</f>
        <v>131057</v>
      </c>
      <c r="R66" s="459">
        <f t="shared" si="31"/>
        <v>0</v>
      </c>
      <c r="S66" s="459"/>
      <c r="T66" s="459"/>
      <c r="U66" s="459">
        <f t="shared" si="36"/>
        <v>0</v>
      </c>
      <c r="V66" s="459"/>
      <c r="W66" s="459"/>
      <c r="X66" s="525"/>
      <c r="Y66" s="459">
        <f t="shared" si="7"/>
        <v>0</v>
      </c>
      <c r="Z66" s="459"/>
      <c r="AA66" s="459"/>
      <c r="AB66" s="459"/>
      <c r="AC66" s="459">
        <f t="shared" si="8"/>
        <v>0</v>
      </c>
      <c r="AD66" s="459"/>
      <c r="AE66" s="459"/>
      <c r="AF66" s="459"/>
      <c r="AG66" s="513">
        <f t="shared" si="9"/>
        <v>131057</v>
      </c>
      <c r="AH66" s="520"/>
      <c r="AI66" s="520"/>
      <c r="AJ66" s="520"/>
      <c r="AK66" s="520"/>
      <c r="AL66" s="514"/>
      <c r="AM66" s="514"/>
      <c r="AN66" s="513"/>
      <c r="AO66" s="450"/>
      <c r="AP66" s="442"/>
      <c r="AQ66" s="442"/>
      <c r="AR66" s="442"/>
      <c r="AS66" s="442"/>
      <c r="AT66" s="442"/>
      <c r="AU66" s="446"/>
    </row>
    <row r="67" spans="1:47" s="424" customFormat="1" ht="23.25" customHeight="1">
      <c r="A67" s="432"/>
      <c r="B67" s="439" t="s">
        <v>444</v>
      </c>
      <c r="C67" s="545">
        <f t="shared" si="3"/>
        <v>0</v>
      </c>
      <c r="D67" s="439"/>
      <c r="E67" s="439"/>
      <c r="F67" s="439"/>
      <c r="G67" s="439"/>
      <c r="H67" s="439"/>
      <c r="I67" s="439"/>
      <c r="J67" s="439"/>
      <c r="K67" s="461">
        <f t="shared" si="23"/>
        <v>13105.7</v>
      </c>
      <c r="L67" s="461">
        <f t="shared" si="15"/>
        <v>13105.7</v>
      </c>
      <c r="M67" s="459">
        <f t="shared" si="49"/>
        <v>0</v>
      </c>
      <c r="N67" s="459">
        <f t="shared" si="49"/>
        <v>13105.7</v>
      </c>
      <c r="O67" s="459">
        <f>P67+Q67</f>
        <v>13105.7</v>
      </c>
      <c r="P67" s="459"/>
      <c r="Q67" s="459">
        <f>Q66*10%</f>
        <v>13105.7</v>
      </c>
      <c r="R67" s="459">
        <f t="shared" si="31"/>
        <v>0</v>
      </c>
      <c r="S67" s="459"/>
      <c r="T67" s="459"/>
      <c r="U67" s="461">
        <f>V67+W67</f>
        <v>0</v>
      </c>
      <c r="V67" s="459"/>
      <c r="W67" s="459"/>
      <c r="X67" s="528">
        <f>X66*10%</f>
        <v>0</v>
      </c>
      <c r="Y67" s="459">
        <f t="shared" si="7"/>
        <v>0</v>
      </c>
      <c r="Z67" s="459"/>
      <c r="AA67" s="459"/>
      <c r="AB67" s="459"/>
      <c r="AC67" s="459">
        <f t="shared" si="8"/>
        <v>0</v>
      </c>
      <c r="AD67" s="459"/>
      <c r="AE67" s="459"/>
      <c r="AF67" s="459"/>
      <c r="AG67" s="513">
        <f t="shared" si="9"/>
        <v>13105.7</v>
      </c>
      <c r="AH67" s="520"/>
      <c r="AI67" s="520"/>
      <c r="AJ67" s="520"/>
      <c r="AK67" s="520"/>
      <c r="AL67" s="514"/>
      <c r="AM67" s="514"/>
      <c r="AN67" s="513"/>
      <c r="AO67" s="450"/>
      <c r="AP67" s="442"/>
      <c r="AQ67" s="442"/>
      <c r="AR67" s="442"/>
      <c r="AS67" s="442"/>
      <c r="AT67" s="442"/>
      <c r="AU67" s="446"/>
    </row>
    <row r="68" spans="1:47" s="434" customFormat="1">
      <c r="A68" s="428">
        <v>4</v>
      </c>
      <c r="B68" s="433" t="s">
        <v>60</v>
      </c>
      <c r="C68" s="545">
        <f t="shared" si="3"/>
        <v>0</v>
      </c>
      <c r="D68" s="433">
        <f>D69+D72+D79</f>
        <v>0</v>
      </c>
      <c r="E68" s="433">
        <f t="shared" ref="E68:J68" si="50">E69+E72+E79</f>
        <v>0</v>
      </c>
      <c r="F68" s="433">
        <f t="shared" si="50"/>
        <v>0</v>
      </c>
      <c r="G68" s="433">
        <f t="shared" ref="G68" si="51">G69+G72+G79</f>
        <v>0</v>
      </c>
      <c r="H68" s="433">
        <f t="shared" ref="H68" si="52">H69+H72+H79</f>
        <v>0</v>
      </c>
      <c r="I68" s="433">
        <f t="shared" si="50"/>
        <v>0</v>
      </c>
      <c r="J68" s="433">
        <f t="shared" si="50"/>
        <v>0</v>
      </c>
      <c r="K68" s="458">
        <f>L68+U68+X68</f>
        <v>582874</v>
      </c>
      <c r="L68" s="458">
        <f t="shared" si="15"/>
        <v>539844</v>
      </c>
      <c r="M68" s="458">
        <f>M69+M72+M79</f>
        <v>836968</v>
      </c>
      <c r="N68" s="458">
        <f>N69+N72+N79</f>
        <v>-297124</v>
      </c>
      <c r="O68" s="458">
        <f>P68+Q68</f>
        <v>539844</v>
      </c>
      <c r="P68" s="458">
        <f>P69+P72+P79</f>
        <v>836968</v>
      </c>
      <c r="Q68" s="458">
        <f>Q69+Q72+Q79</f>
        <v>-297124</v>
      </c>
      <c r="R68" s="458">
        <f t="shared" si="31"/>
        <v>0</v>
      </c>
      <c r="S68" s="458">
        <f>S69+S72+S79</f>
        <v>0</v>
      </c>
      <c r="T68" s="458">
        <f>T69+T72+T79</f>
        <v>0</v>
      </c>
      <c r="U68" s="458">
        <f>V68+W68</f>
        <v>43030</v>
      </c>
      <c r="V68" s="458">
        <f>V69+V72+V79</f>
        <v>43030</v>
      </c>
      <c r="W68" s="458">
        <f>W69+W72+W79</f>
        <v>0</v>
      </c>
      <c r="X68" s="522">
        <f>X69+SUM(X73:X79)</f>
        <v>0</v>
      </c>
      <c r="Y68" s="458">
        <f t="shared" si="7"/>
        <v>0</v>
      </c>
      <c r="Z68" s="458">
        <f>Z69+Z72+Z79</f>
        <v>0</v>
      </c>
      <c r="AA68" s="458">
        <f>AA69+AA72+AA79</f>
        <v>0</v>
      </c>
      <c r="AB68" s="458">
        <f>AB69+AB72+AB79</f>
        <v>0</v>
      </c>
      <c r="AC68" s="458">
        <f t="shared" si="8"/>
        <v>0</v>
      </c>
      <c r="AD68" s="458">
        <f>AD69+AD72+AD79</f>
        <v>0</v>
      </c>
      <c r="AE68" s="458">
        <f>AE69+AE72+AE79</f>
        <v>0</v>
      </c>
      <c r="AF68" s="458">
        <f>AF69+AF72+AF79</f>
        <v>0</v>
      </c>
      <c r="AG68" s="513">
        <f t="shared" si="9"/>
        <v>582874</v>
      </c>
      <c r="AH68" s="512"/>
      <c r="AI68" s="512"/>
      <c r="AJ68" s="512"/>
      <c r="AK68" s="512"/>
      <c r="AL68" s="514"/>
      <c r="AM68" s="514"/>
      <c r="AN68" s="513"/>
      <c r="AO68" s="449">
        <v>983979</v>
      </c>
      <c r="AP68" s="441">
        <f>K68-AO68</f>
        <v>-401105</v>
      </c>
      <c r="AQ68" s="430">
        <f>SUM(AQ69:AQ79)</f>
        <v>556874.31420000002</v>
      </c>
      <c r="AR68" s="430">
        <f>SUM(AR69:AR79)</f>
        <v>556874.31420000002</v>
      </c>
      <c r="AS68" s="430">
        <f>SUM(AS69:AS79)</f>
        <v>0</v>
      </c>
      <c r="AT68" s="441"/>
      <c r="AU68" s="445"/>
    </row>
    <row r="69" spans="1:47" s="421" customFormat="1">
      <c r="A69" s="431" t="s">
        <v>86</v>
      </c>
      <c r="B69" s="480" t="s">
        <v>403</v>
      </c>
      <c r="C69" s="545">
        <f t="shared" si="3"/>
        <v>0</v>
      </c>
      <c r="D69" s="480"/>
      <c r="E69" s="480"/>
      <c r="F69" s="480"/>
      <c r="G69" s="480"/>
      <c r="H69" s="480"/>
      <c r="I69" s="480"/>
      <c r="J69" s="480"/>
      <c r="K69" s="498">
        <f t="shared" si="23"/>
        <v>490000</v>
      </c>
      <c r="L69" s="461">
        <f t="shared" si="15"/>
        <v>483320</v>
      </c>
      <c r="M69" s="498">
        <f>M70+M71</f>
        <v>483320</v>
      </c>
      <c r="N69" s="498">
        <f>N70+N71</f>
        <v>0</v>
      </c>
      <c r="O69" s="498">
        <f t="shared" si="35"/>
        <v>483320</v>
      </c>
      <c r="P69" s="498">
        <f>P70+P71</f>
        <v>483320</v>
      </c>
      <c r="Q69" s="498">
        <f>Q70+Q71</f>
        <v>0</v>
      </c>
      <c r="R69" s="498">
        <f t="shared" si="31"/>
        <v>0</v>
      </c>
      <c r="S69" s="498">
        <f>S70+S71</f>
        <v>0</v>
      </c>
      <c r="T69" s="498">
        <f>T70+T71</f>
        <v>0</v>
      </c>
      <c r="U69" s="498">
        <f t="shared" si="36"/>
        <v>6680</v>
      </c>
      <c r="V69" s="498">
        <f>V70+V71</f>
        <v>6680</v>
      </c>
      <c r="W69" s="498">
        <f>W70+W71</f>
        <v>0</v>
      </c>
      <c r="X69" s="529"/>
      <c r="Y69" s="498">
        <f t="shared" si="7"/>
        <v>0</v>
      </c>
      <c r="Z69" s="498">
        <f>Z70+Z71</f>
        <v>0</v>
      </c>
      <c r="AA69" s="498">
        <f>AA70+AA71</f>
        <v>0</v>
      </c>
      <c r="AB69" s="498">
        <f>AB70+AB71</f>
        <v>0</v>
      </c>
      <c r="AC69" s="498">
        <f t="shared" si="8"/>
        <v>0</v>
      </c>
      <c r="AD69" s="498">
        <f>AD70+AD71</f>
        <v>0</v>
      </c>
      <c r="AE69" s="498">
        <f>AE70+AE71</f>
        <v>0</v>
      </c>
      <c r="AF69" s="498">
        <f>AF70+AF71</f>
        <v>0</v>
      </c>
      <c r="AG69" s="513">
        <f t="shared" si="9"/>
        <v>490000</v>
      </c>
      <c r="AH69" s="553"/>
      <c r="AI69" s="553"/>
      <c r="AJ69" s="553"/>
      <c r="AK69" s="553"/>
      <c r="AL69" s="514"/>
      <c r="AM69" s="514"/>
      <c r="AN69" s="513"/>
      <c r="AO69" s="451" t="e">
        <f>'BTC-Chinh thuc'!H42-'Bieu 17'!D84-'Bieu 17'!#REF!</f>
        <v>#REF!</v>
      </c>
      <c r="AP69" s="481">
        <f>'BTC-Chinh thuc'!H42</f>
        <v>556874.31420000002</v>
      </c>
      <c r="AQ69" s="440">
        <f>AR69+AS69</f>
        <v>556874.31420000002</v>
      </c>
      <c r="AR69" s="481">
        <f>AP69</f>
        <v>556874.31420000002</v>
      </c>
      <c r="AS69" s="481"/>
      <c r="AT69" s="481"/>
      <c r="AU69" s="482"/>
    </row>
    <row r="70" spans="1:47" s="422" customFormat="1">
      <c r="A70" s="432" t="s">
        <v>433</v>
      </c>
      <c r="B70" s="435" t="s">
        <v>37</v>
      </c>
      <c r="C70" s="545">
        <f t="shared" si="3"/>
        <v>0</v>
      </c>
      <c r="D70" s="435"/>
      <c r="E70" s="435"/>
      <c r="F70" s="435"/>
      <c r="G70" s="435"/>
      <c r="H70" s="435"/>
      <c r="I70" s="435"/>
      <c r="J70" s="435"/>
      <c r="K70" s="459">
        <f t="shared" si="23"/>
        <v>384068</v>
      </c>
      <c r="L70" s="461">
        <f t="shared" si="15"/>
        <v>377388</v>
      </c>
      <c r="M70" s="459">
        <f>P70+S70</f>
        <v>377388</v>
      </c>
      <c r="N70" s="459">
        <f>Q70+T70</f>
        <v>0</v>
      </c>
      <c r="O70" s="463">
        <f t="shared" si="35"/>
        <v>377388</v>
      </c>
      <c r="P70" s="463">
        <v>377388</v>
      </c>
      <c r="Q70" s="463"/>
      <c r="R70" s="463">
        <f t="shared" si="31"/>
        <v>0</v>
      </c>
      <c r="S70" s="463"/>
      <c r="T70" s="463"/>
      <c r="U70" s="463">
        <f t="shared" si="36"/>
        <v>6680</v>
      </c>
      <c r="V70" s="463">
        <v>6680</v>
      </c>
      <c r="W70" s="463"/>
      <c r="X70" s="530"/>
      <c r="Y70" s="463">
        <f t="shared" si="7"/>
        <v>0</v>
      </c>
      <c r="Z70" s="463"/>
      <c r="AA70" s="463"/>
      <c r="AB70" s="463"/>
      <c r="AC70" s="463">
        <f t="shared" si="8"/>
        <v>0</v>
      </c>
      <c r="AD70" s="463"/>
      <c r="AE70" s="463"/>
      <c r="AF70" s="463"/>
      <c r="AG70" s="513">
        <f t="shared" si="9"/>
        <v>384068</v>
      </c>
      <c r="AH70" s="554"/>
      <c r="AI70" s="554"/>
      <c r="AJ70" s="554"/>
      <c r="AK70" s="554"/>
      <c r="AL70" s="514"/>
      <c r="AM70" s="514"/>
      <c r="AN70" s="513"/>
      <c r="AO70" s="450"/>
      <c r="AP70" s="443"/>
      <c r="AQ70" s="442"/>
      <c r="AR70" s="443"/>
      <c r="AS70" s="443"/>
      <c r="AT70" s="443"/>
      <c r="AU70" s="447"/>
    </row>
    <row r="71" spans="1:47" s="422" customFormat="1">
      <c r="A71" s="432" t="s">
        <v>433</v>
      </c>
      <c r="B71" s="435" t="s">
        <v>437</v>
      </c>
      <c r="C71" s="545">
        <f t="shared" si="3"/>
        <v>0</v>
      </c>
      <c r="D71" s="435"/>
      <c r="E71" s="435"/>
      <c r="F71" s="435"/>
      <c r="G71" s="435"/>
      <c r="H71" s="435"/>
      <c r="I71" s="435"/>
      <c r="J71" s="435"/>
      <c r="K71" s="459">
        <f t="shared" si="23"/>
        <v>105932</v>
      </c>
      <c r="L71" s="461">
        <f t="shared" si="15"/>
        <v>105932</v>
      </c>
      <c r="M71" s="459">
        <f>P71+S71</f>
        <v>105932</v>
      </c>
      <c r="N71" s="459">
        <f>Q71+T71</f>
        <v>0</v>
      </c>
      <c r="O71" s="463">
        <f>P71+Q71</f>
        <v>105932</v>
      </c>
      <c r="P71" s="463">
        <v>105932</v>
      </c>
      <c r="Q71" s="463"/>
      <c r="R71" s="463">
        <f t="shared" si="31"/>
        <v>0</v>
      </c>
      <c r="S71" s="463"/>
      <c r="T71" s="463"/>
      <c r="U71" s="463">
        <f t="shared" si="36"/>
        <v>0</v>
      </c>
      <c r="V71" s="463"/>
      <c r="W71" s="463"/>
      <c r="X71" s="530"/>
      <c r="Y71" s="463">
        <f t="shared" si="7"/>
        <v>0</v>
      </c>
      <c r="Z71" s="463"/>
      <c r="AA71" s="463"/>
      <c r="AB71" s="463"/>
      <c r="AC71" s="463">
        <f t="shared" si="8"/>
        <v>0</v>
      </c>
      <c r="AD71" s="463"/>
      <c r="AE71" s="463"/>
      <c r="AF71" s="463"/>
      <c r="AG71" s="513">
        <f t="shared" si="9"/>
        <v>105932</v>
      </c>
      <c r="AH71" s="554"/>
      <c r="AI71" s="554"/>
      <c r="AJ71" s="554"/>
      <c r="AK71" s="554"/>
      <c r="AL71" s="514"/>
      <c r="AM71" s="514"/>
      <c r="AN71" s="513"/>
      <c r="AO71" s="450"/>
      <c r="AP71" s="443"/>
      <c r="AQ71" s="442"/>
      <c r="AR71" s="443"/>
      <c r="AS71" s="443"/>
      <c r="AT71" s="443"/>
      <c r="AU71" s="447"/>
    </row>
    <row r="72" spans="1:47" s="421" customFormat="1">
      <c r="A72" s="431" t="s">
        <v>88</v>
      </c>
      <c r="B72" s="436" t="s">
        <v>445</v>
      </c>
      <c r="C72" s="545">
        <f t="shared" si="3"/>
        <v>0</v>
      </c>
      <c r="D72" s="436"/>
      <c r="E72" s="436"/>
      <c r="F72" s="436"/>
      <c r="G72" s="436"/>
      <c r="H72" s="436"/>
      <c r="I72" s="436"/>
      <c r="J72" s="436"/>
      <c r="K72" s="461">
        <f t="shared" si="23"/>
        <v>0</v>
      </c>
      <c r="L72" s="461">
        <f t="shared" si="15"/>
        <v>-36350</v>
      </c>
      <c r="M72" s="461">
        <f>M73+M74+M75+M76+M77+M78</f>
        <v>353648</v>
      </c>
      <c r="N72" s="461">
        <f>N73+N74+N75+N76+N77+N78</f>
        <v>-389998</v>
      </c>
      <c r="O72" s="498">
        <f>P72+Q72</f>
        <v>-36350</v>
      </c>
      <c r="P72" s="498">
        <f>SUM(P73:P78)</f>
        <v>353648</v>
      </c>
      <c r="Q72" s="498">
        <f>SUM(Q73:Q78)</f>
        <v>-389998</v>
      </c>
      <c r="R72" s="498">
        <f t="shared" si="31"/>
        <v>0</v>
      </c>
      <c r="S72" s="498">
        <f>SUM(S73:S78)</f>
        <v>0</v>
      </c>
      <c r="T72" s="498">
        <f>SUM(T73:T78)</f>
        <v>0</v>
      </c>
      <c r="U72" s="498">
        <f>V72+W72</f>
        <v>36350</v>
      </c>
      <c r="V72" s="498">
        <f>SUM(V73:V78)</f>
        <v>36350</v>
      </c>
      <c r="W72" s="498">
        <f>SUM(W73:W78)</f>
        <v>0</v>
      </c>
      <c r="X72" s="529"/>
      <c r="Y72" s="498">
        <f t="shared" si="7"/>
        <v>0</v>
      </c>
      <c r="Z72" s="498">
        <f>SUM(Z73:Z78)</f>
        <v>0</v>
      </c>
      <c r="AA72" s="498">
        <f>SUM(AA73:AA78)</f>
        <v>0</v>
      </c>
      <c r="AB72" s="498">
        <f>SUM(AB73:AB78)</f>
        <v>0</v>
      </c>
      <c r="AC72" s="498">
        <f t="shared" si="8"/>
        <v>0</v>
      </c>
      <c r="AD72" s="498">
        <f>SUM(AD73:AD78)</f>
        <v>0</v>
      </c>
      <c r="AE72" s="498">
        <f>SUM(AE73:AE78)</f>
        <v>0</v>
      </c>
      <c r="AF72" s="498">
        <f>SUM(AF73:AF78)</f>
        <v>0</v>
      </c>
      <c r="AG72" s="513">
        <f t="shared" si="9"/>
        <v>0</v>
      </c>
      <c r="AH72" s="553"/>
      <c r="AI72" s="553"/>
      <c r="AJ72" s="553"/>
      <c r="AK72" s="553"/>
      <c r="AL72" s="514"/>
      <c r="AM72" s="514"/>
      <c r="AN72" s="513"/>
      <c r="AO72" s="451"/>
      <c r="AP72" s="481"/>
      <c r="AQ72" s="440"/>
      <c r="AR72" s="481"/>
      <c r="AS72" s="481"/>
      <c r="AT72" s="481"/>
      <c r="AU72" s="482"/>
    </row>
    <row r="73" spans="1:47" s="421" customFormat="1" ht="31.5">
      <c r="A73" s="431" t="s">
        <v>433</v>
      </c>
      <c r="B73" s="120" t="s">
        <v>163</v>
      </c>
      <c r="C73" s="545">
        <f t="shared" si="3"/>
        <v>0</v>
      </c>
      <c r="D73" s="120"/>
      <c r="E73" s="120"/>
      <c r="F73" s="120"/>
      <c r="G73" s="120"/>
      <c r="H73" s="120"/>
      <c r="I73" s="120"/>
      <c r="J73" s="120"/>
      <c r="K73" s="461">
        <f t="shared" si="23"/>
        <v>0</v>
      </c>
      <c r="L73" s="461">
        <f t="shared" si="15"/>
        <v>0</v>
      </c>
      <c r="M73" s="459">
        <f t="shared" ref="M73:M78" si="53">P73+S73</f>
        <v>110015</v>
      </c>
      <c r="N73" s="459">
        <f t="shared" ref="N73:N78" si="54">Q73+T73</f>
        <v>-110015</v>
      </c>
      <c r="O73" s="463">
        <f>P73+Q73</f>
        <v>0</v>
      </c>
      <c r="P73" s="149">
        <v>110015</v>
      </c>
      <c r="Q73" s="149">
        <f t="shared" ref="Q73:Q78" si="55">I73-P73-U73</f>
        <v>-110015</v>
      </c>
      <c r="R73" s="149">
        <f t="shared" si="31"/>
        <v>0</v>
      </c>
      <c r="S73" s="149"/>
      <c r="T73" s="149"/>
      <c r="U73" s="498">
        <f t="shared" ref="U73:U78" si="56">V73+W73</f>
        <v>0</v>
      </c>
      <c r="V73" s="149"/>
      <c r="W73" s="149"/>
      <c r="X73" s="529"/>
      <c r="Y73" s="149">
        <f t="shared" si="7"/>
        <v>0</v>
      </c>
      <c r="Z73" s="149"/>
      <c r="AA73" s="149"/>
      <c r="AB73" s="149"/>
      <c r="AC73" s="149">
        <f t="shared" si="8"/>
        <v>0</v>
      </c>
      <c r="AD73" s="149"/>
      <c r="AE73" s="149"/>
      <c r="AF73" s="149"/>
      <c r="AG73" s="513">
        <f t="shared" si="9"/>
        <v>0</v>
      </c>
      <c r="AH73" s="555"/>
      <c r="AI73" s="555"/>
      <c r="AJ73" s="555"/>
      <c r="AK73" s="555"/>
      <c r="AL73" s="514"/>
      <c r="AM73" s="514"/>
      <c r="AN73" s="513"/>
      <c r="AO73" s="483"/>
      <c r="AP73" s="481"/>
      <c r="AQ73" s="440">
        <f t="shared" ref="AQ73:AQ79" si="57">AR73+AS73</f>
        <v>0</v>
      </c>
      <c r="AR73" s="481">
        <f t="shared" ref="AR73:AR78" si="58">K73</f>
        <v>0</v>
      </c>
      <c r="AS73" s="481"/>
      <c r="AT73" s="481"/>
      <c r="AU73" s="482"/>
    </row>
    <row r="74" spans="1:47" s="421" customFormat="1" ht="31.5">
      <c r="A74" s="431" t="s">
        <v>433</v>
      </c>
      <c r="B74" s="120" t="s">
        <v>224</v>
      </c>
      <c r="C74" s="545">
        <f t="shared" si="3"/>
        <v>0</v>
      </c>
      <c r="D74" s="120"/>
      <c r="E74" s="120"/>
      <c r="F74" s="120"/>
      <c r="G74" s="120"/>
      <c r="H74" s="120"/>
      <c r="I74" s="120"/>
      <c r="J74" s="120"/>
      <c r="K74" s="461">
        <f t="shared" si="23"/>
        <v>0</v>
      </c>
      <c r="L74" s="461">
        <f t="shared" si="15"/>
        <v>-36350</v>
      </c>
      <c r="M74" s="459">
        <f t="shared" si="53"/>
        <v>0</v>
      </c>
      <c r="N74" s="459">
        <f t="shared" si="54"/>
        <v>-36350</v>
      </c>
      <c r="O74" s="463">
        <f t="shared" ref="O74:O84" si="59">P74+Q74</f>
        <v>-36350</v>
      </c>
      <c r="P74" s="149"/>
      <c r="Q74" s="149">
        <f t="shared" si="55"/>
        <v>-36350</v>
      </c>
      <c r="R74" s="149">
        <f t="shared" si="31"/>
        <v>0</v>
      </c>
      <c r="S74" s="149"/>
      <c r="T74" s="149"/>
      <c r="U74" s="498">
        <f t="shared" si="56"/>
        <v>36350</v>
      </c>
      <c r="V74" s="149">
        <v>36350</v>
      </c>
      <c r="W74" s="149"/>
      <c r="X74" s="529"/>
      <c r="Y74" s="149">
        <f t="shared" si="7"/>
        <v>0</v>
      </c>
      <c r="Z74" s="149"/>
      <c r="AA74" s="149"/>
      <c r="AB74" s="149"/>
      <c r="AC74" s="149">
        <f t="shared" si="8"/>
        <v>0</v>
      </c>
      <c r="AD74" s="149"/>
      <c r="AE74" s="149"/>
      <c r="AF74" s="149"/>
      <c r="AG74" s="513">
        <f t="shared" si="9"/>
        <v>0</v>
      </c>
      <c r="AH74" s="555"/>
      <c r="AI74" s="555"/>
      <c r="AJ74" s="555"/>
      <c r="AK74" s="555"/>
      <c r="AL74" s="514"/>
      <c r="AM74" s="514"/>
      <c r="AN74" s="513"/>
      <c r="AO74" s="483"/>
      <c r="AP74" s="481"/>
      <c r="AQ74" s="440">
        <f t="shared" si="57"/>
        <v>0</v>
      </c>
      <c r="AR74" s="481">
        <f t="shared" si="58"/>
        <v>0</v>
      </c>
      <c r="AS74" s="481"/>
      <c r="AT74" s="481"/>
      <c r="AU74" s="482"/>
    </row>
    <row r="75" spans="1:47" s="421" customFormat="1" ht="66.75" customHeight="1">
      <c r="A75" s="431" t="s">
        <v>433</v>
      </c>
      <c r="B75" s="120" t="s">
        <v>319</v>
      </c>
      <c r="C75" s="545">
        <f t="shared" ref="C75:C138" si="60">SUM(D75:J75)</f>
        <v>0</v>
      </c>
      <c r="D75" s="120"/>
      <c r="E75" s="120"/>
      <c r="F75" s="120"/>
      <c r="G75" s="120"/>
      <c r="H75" s="120"/>
      <c r="I75" s="120"/>
      <c r="J75" s="120"/>
      <c r="K75" s="461">
        <f t="shared" si="23"/>
        <v>0</v>
      </c>
      <c r="L75" s="461">
        <f t="shared" si="15"/>
        <v>0</v>
      </c>
      <c r="M75" s="459">
        <f t="shared" si="53"/>
        <v>212258</v>
      </c>
      <c r="N75" s="459">
        <f t="shared" si="54"/>
        <v>-212258</v>
      </c>
      <c r="O75" s="463">
        <f t="shared" si="59"/>
        <v>0</v>
      </c>
      <c r="P75" s="149">
        <v>212258</v>
      </c>
      <c r="Q75" s="149">
        <f t="shared" si="55"/>
        <v>-212258</v>
      </c>
      <c r="R75" s="149">
        <f t="shared" si="31"/>
        <v>0</v>
      </c>
      <c r="S75" s="149"/>
      <c r="T75" s="149"/>
      <c r="U75" s="498">
        <f t="shared" si="56"/>
        <v>0</v>
      </c>
      <c r="V75" s="496"/>
      <c r="W75" s="496"/>
      <c r="X75" s="529"/>
      <c r="Y75" s="149">
        <f t="shared" ref="Y75:Y138" si="61">Z75+AA75+AB75</f>
        <v>0</v>
      </c>
      <c r="Z75" s="149"/>
      <c r="AA75" s="149"/>
      <c r="AB75" s="149"/>
      <c r="AC75" s="149">
        <f t="shared" ref="AC75:AC138" si="62">AD75+AE75+AF75</f>
        <v>0</v>
      </c>
      <c r="AD75" s="149"/>
      <c r="AE75" s="149"/>
      <c r="AF75" s="149"/>
      <c r="AG75" s="513">
        <f t="shared" ref="AG75:AG138" si="63">O75+U75</f>
        <v>0</v>
      </c>
      <c r="AH75" s="555"/>
      <c r="AI75" s="555"/>
      <c r="AJ75" s="555"/>
      <c r="AK75" s="555"/>
      <c r="AL75" s="514"/>
      <c r="AM75" s="514"/>
      <c r="AN75" s="513"/>
      <c r="AO75" s="483"/>
      <c r="AP75" s="481"/>
      <c r="AQ75" s="440">
        <f t="shared" si="57"/>
        <v>0</v>
      </c>
      <c r="AR75" s="481">
        <f t="shared" si="58"/>
        <v>0</v>
      </c>
      <c r="AS75" s="481"/>
      <c r="AT75" s="481"/>
      <c r="AU75" s="482"/>
    </row>
    <row r="76" spans="1:47" s="421" customFormat="1" ht="31.5">
      <c r="A76" s="431" t="s">
        <v>433</v>
      </c>
      <c r="B76" s="120" t="s">
        <v>320</v>
      </c>
      <c r="C76" s="545">
        <f t="shared" si="60"/>
        <v>0</v>
      </c>
      <c r="D76" s="120"/>
      <c r="E76" s="120"/>
      <c r="F76" s="120"/>
      <c r="G76" s="120"/>
      <c r="H76" s="120"/>
      <c r="I76" s="120"/>
      <c r="J76" s="120"/>
      <c r="K76" s="461">
        <f t="shared" ref="K76:K143" si="64">L76+U76+X76</f>
        <v>0</v>
      </c>
      <c r="L76" s="461">
        <f t="shared" si="15"/>
        <v>0</v>
      </c>
      <c r="M76" s="459">
        <f t="shared" si="53"/>
        <v>4</v>
      </c>
      <c r="N76" s="459">
        <f t="shared" si="54"/>
        <v>-4</v>
      </c>
      <c r="O76" s="463">
        <f t="shared" si="59"/>
        <v>0</v>
      </c>
      <c r="P76" s="149">
        <v>4</v>
      </c>
      <c r="Q76" s="149">
        <f t="shared" si="55"/>
        <v>-4</v>
      </c>
      <c r="R76" s="149">
        <f t="shared" si="31"/>
        <v>0</v>
      </c>
      <c r="S76" s="149"/>
      <c r="T76" s="149"/>
      <c r="U76" s="498">
        <f t="shared" si="56"/>
        <v>0</v>
      </c>
      <c r="V76" s="496"/>
      <c r="W76" s="496"/>
      <c r="X76" s="529"/>
      <c r="Y76" s="149">
        <f t="shared" si="61"/>
        <v>0</v>
      </c>
      <c r="Z76" s="149"/>
      <c r="AA76" s="149"/>
      <c r="AB76" s="149"/>
      <c r="AC76" s="149">
        <f t="shared" si="62"/>
        <v>0</v>
      </c>
      <c r="AD76" s="149"/>
      <c r="AE76" s="149"/>
      <c r="AF76" s="149"/>
      <c r="AG76" s="513">
        <f t="shared" si="63"/>
        <v>0</v>
      </c>
      <c r="AH76" s="555"/>
      <c r="AI76" s="555"/>
      <c r="AJ76" s="555"/>
      <c r="AK76" s="555"/>
      <c r="AL76" s="514"/>
      <c r="AM76" s="514"/>
      <c r="AN76" s="513"/>
      <c r="AO76" s="483"/>
      <c r="AP76" s="481"/>
      <c r="AQ76" s="440">
        <f t="shared" si="57"/>
        <v>0</v>
      </c>
      <c r="AR76" s="481">
        <f t="shared" si="58"/>
        <v>0</v>
      </c>
      <c r="AS76" s="481"/>
      <c r="AT76" s="481"/>
      <c r="AU76" s="482"/>
    </row>
    <row r="77" spans="1:47" s="421" customFormat="1" ht="31.5">
      <c r="A77" s="431" t="s">
        <v>433</v>
      </c>
      <c r="B77" s="120" t="s">
        <v>165</v>
      </c>
      <c r="C77" s="545">
        <f t="shared" si="60"/>
        <v>0</v>
      </c>
      <c r="D77" s="120"/>
      <c r="E77" s="120"/>
      <c r="F77" s="120"/>
      <c r="G77" s="120"/>
      <c r="H77" s="120"/>
      <c r="I77" s="120"/>
      <c r="J77" s="120"/>
      <c r="K77" s="461">
        <f t="shared" si="64"/>
        <v>0</v>
      </c>
      <c r="L77" s="461">
        <f t="shared" si="15"/>
        <v>0</v>
      </c>
      <c r="M77" s="459">
        <f t="shared" si="53"/>
        <v>31371</v>
      </c>
      <c r="N77" s="459">
        <f t="shared" si="54"/>
        <v>-31371</v>
      </c>
      <c r="O77" s="463">
        <f t="shared" si="59"/>
        <v>0</v>
      </c>
      <c r="P77" s="149">
        <v>31371</v>
      </c>
      <c r="Q77" s="149">
        <f t="shared" si="55"/>
        <v>-31371</v>
      </c>
      <c r="R77" s="149">
        <f t="shared" si="31"/>
        <v>0</v>
      </c>
      <c r="S77" s="149"/>
      <c r="T77" s="149"/>
      <c r="U77" s="498">
        <f t="shared" si="56"/>
        <v>0</v>
      </c>
      <c r="V77" s="496"/>
      <c r="W77" s="496"/>
      <c r="X77" s="529"/>
      <c r="Y77" s="149">
        <f t="shared" si="61"/>
        <v>0</v>
      </c>
      <c r="Z77" s="149"/>
      <c r="AA77" s="149"/>
      <c r="AB77" s="149"/>
      <c r="AC77" s="149">
        <f t="shared" si="62"/>
        <v>0</v>
      </c>
      <c r="AD77" s="149"/>
      <c r="AE77" s="149"/>
      <c r="AF77" s="149"/>
      <c r="AG77" s="513">
        <f t="shared" si="63"/>
        <v>0</v>
      </c>
      <c r="AH77" s="555"/>
      <c r="AI77" s="555"/>
      <c r="AJ77" s="555"/>
      <c r="AK77" s="555"/>
      <c r="AL77" s="514"/>
      <c r="AM77" s="514"/>
      <c r="AN77" s="513"/>
      <c r="AO77" s="483"/>
      <c r="AP77" s="481"/>
      <c r="AQ77" s="440">
        <f t="shared" si="57"/>
        <v>0</v>
      </c>
      <c r="AR77" s="481">
        <f t="shared" si="58"/>
        <v>0</v>
      </c>
      <c r="AS77" s="481"/>
      <c r="AT77" s="481"/>
      <c r="AU77" s="482"/>
    </row>
    <row r="78" spans="1:47" s="421" customFormat="1" ht="63">
      <c r="A78" s="431" t="s">
        <v>433</v>
      </c>
      <c r="B78" s="120" t="s">
        <v>226</v>
      </c>
      <c r="C78" s="545">
        <f t="shared" si="60"/>
        <v>0</v>
      </c>
      <c r="D78" s="120"/>
      <c r="E78" s="120"/>
      <c r="F78" s="120"/>
      <c r="G78" s="120"/>
      <c r="H78" s="120"/>
      <c r="I78" s="120"/>
      <c r="J78" s="120"/>
      <c r="K78" s="461">
        <f t="shared" si="64"/>
        <v>0</v>
      </c>
      <c r="L78" s="461">
        <f t="shared" si="15"/>
        <v>0</v>
      </c>
      <c r="M78" s="459">
        <f t="shared" si="53"/>
        <v>0</v>
      </c>
      <c r="N78" s="459">
        <f t="shared" si="54"/>
        <v>0</v>
      </c>
      <c r="O78" s="463">
        <f t="shared" si="59"/>
        <v>0</v>
      </c>
      <c r="P78" s="149"/>
      <c r="Q78" s="149">
        <f t="shared" si="55"/>
        <v>0</v>
      </c>
      <c r="R78" s="149">
        <f t="shared" si="31"/>
        <v>0</v>
      </c>
      <c r="S78" s="149"/>
      <c r="T78" s="149"/>
      <c r="U78" s="498">
        <f t="shared" si="56"/>
        <v>0</v>
      </c>
      <c r="V78" s="496"/>
      <c r="W78" s="496"/>
      <c r="X78" s="529"/>
      <c r="Y78" s="149">
        <f t="shared" si="61"/>
        <v>0</v>
      </c>
      <c r="Z78" s="149"/>
      <c r="AA78" s="149"/>
      <c r="AB78" s="149"/>
      <c r="AC78" s="149">
        <f t="shared" si="62"/>
        <v>0</v>
      </c>
      <c r="AD78" s="149"/>
      <c r="AE78" s="149"/>
      <c r="AF78" s="149"/>
      <c r="AG78" s="513">
        <f t="shared" si="63"/>
        <v>0</v>
      </c>
      <c r="AH78" s="555"/>
      <c r="AI78" s="555"/>
      <c r="AJ78" s="555"/>
      <c r="AK78" s="555"/>
      <c r="AL78" s="514"/>
      <c r="AM78" s="514"/>
      <c r="AN78" s="513"/>
      <c r="AO78" s="483"/>
      <c r="AP78" s="481"/>
      <c r="AQ78" s="440">
        <f t="shared" si="57"/>
        <v>0</v>
      </c>
      <c r="AR78" s="481">
        <f t="shared" si="58"/>
        <v>0</v>
      </c>
      <c r="AS78" s="481"/>
      <c r="AT78" s="481"/>
      <c r="AU78" s="482"/>
    </row>
    <row r="79" spans="1:47" s="421" customFormat="1">
      <c r="A79" s="431" t="s">
        <v>179</v>
      </c>
      <c r="B79" s="480" t="s">
        <v>402</v>
      </c>
      <c r="C79" s="545">
        <f t="shared" si="60"/>
        <v>0</v>
      </c>
      <c r="D79" s="480"/>
      <c r="E79" s="480"/>
      <c r="F79" s="480"/>
      <c r="G79" s="480"/>
      <c r="H79" s="480"/>
      <c r="I79" s="480"/>
      <c r="J79" s="480"/>
      <c r="K79" s="461">
        <f t="shared" si="64"/>
        <v>92874</v>
      </c>
      <c r="L79" s="461">
        <f>M79+N79</f>
        <v>92874</v>
      </c>
      <c r="M79" s="461">
        <f>M80+M82+M81</f>
        <v>0</v>
      </c>
      <c r="N79" s="461">
        <f>N80+N82+N81</f>
        <v>92874</v>
      </c>
      <c r="O79" s="463">
        <f>P79+Q79</f>
        <v>92874</v>
      </c>
      <c r="P79" s="498">
        <f>SUM(P80:P82)</f>
        <v>0</v>
      </c>
      <c r="Q79" s="498">
        <f>SUM(Q80:Q82)</f>
        <v>92874</v>
      </c>
      <c r="R79" s="498">
        <f t="shared" si="31"/>
        <v>0</v>
      </c>
      <c r="S79" s="498"/>
      <c r="T79" s="498">
        <f>SUM(T80:T82)</f>
        <v>0</v>
      </c>
      <c r="U79" s="498">
        <f t="shared" si="36"/>
        <v>0</v>
      </c>
      <c r="V79" s="498">
        <f>SUM(V80:V82)</f>
        <v>0</v>
      </c>
      <c r="W79" s="498">
        <f>SUM(W80:W82)</f>
        <v>0</v>
      </c>
      <c r="X79" s="531">
        <f>SUM(X80:X82)</f>
        <v>0</v>
      </c>
      <c r="Y79" s="498">
        <f t="shared" si="61"/>
        <v>0</v>
      </c>
      <c r="Z79" s="498"/>
      <c r="AA79" s="498"/>
      <c r="AB79" s="498">
        <f>SUM(AB80:AB82)</f>
        <v>0</v>
      </c>
      <c r="AC79" s="498">
        <f t="shared" si="62"/>
        <v>0</v>
      </c>
      <c r="AD79" s="498"/>
      <c r="AE79" s="498"/>
      <c r="AF79" s="498">
        <f>SUM(AF80:AF82)</f>
        <v>0</v>
      </c>
      <c r="AG79" s="513">
        <f t="shared" si="63"/>
        <v>92874</v>
      </c>
      <c r="AH79" s="553"/>
      <c r="AI79" s="553"/>
      <c r="AJ79" s="553"/>
      <c r="AK79" s="553"/>
      <c r="AL79" s="514"/>
      <c r="AM79" s="514"/>
      <c r="AN79" s="513"/>
      <c r="AO79" s="483"/>
      <c r="AP79" s="481"/>
      <c r="AQ79" s="440">
        <f t="shared" si="57"/>
        <v>0</v>
      </c>
      <c r="AR79" s="481"/>
      <c r="AS79" s="481"/>
      <c r="AT79" s="481"/>
      <c r="AU79" s="482"/>
    </row>
    <row r="80" spans="1:47" s="421" customFormat="1">
      <c r="A80" s="431" t="s">
        <v>433</v>
      </c>
      <c r="B80" s="435" t="s">
        <v>446</v>
      </c>
      <c r="C80" s="545">
        <f t="shared" si="60"/>
        <v>0</v>
      </c>
      <c r="D80" s="435"/>
      <c r="E80" s="435"/>
      <c r="F80" s="435"/>
      <c r="G80" s="435"/>
      <c r="H80" s="435"/>
      <c r="I80" s="435"/>
      <c r="J80" s="435"/>
      <c r="K80" s="461">
        <f t="shared" si="64"/>
        <v>5490</v>
      </c>
      <c r="L80" s="461">
        <f t="shared" ref="L80:L147" si="65">M80+N80</f>
        <v>5490</v>
      </c>
      <c r="M80" s="459">
        <f t="shared" ref="M80:N84" si="66">P80+S80</f>
        <v>0</v>
      </c>
      <c r="N80" s="459">
        <f t="shared" si="66"/>
        <v>5490</v>
      </c>
      <c r="O80" s="463">
        <f t="shared" si="59"/>
        <v>5490</v>
      </c>
      <c r="P80" s="498"/>
      <c r="Q80" s="498">
        <v>5490</v>
      </c>
      <c r="R80" s="498">
        <f t="shared" si="31"/>
        <v>0</v>
      </c>
      <c r="S80" s="498"/>
      <c r="T80" s="498"/>
      <c r="U80" s="498"/>
      <c r="V80" s="498"/>
      <c r="W80" s="498"/>
      <c r="X80" s="529"/>
      <c r="Y80" s="498">
        <f t="shared" si="61"/>
        <v>0</v>
      </c>
      <c r="Z80" s="498"/>
      <c r="AA80" s="498"/>
      <c r="AB80" s="498"/>
      <c r="AC80" s="498">
        <f t="shared" si="62"/>
        <v>0</v>
      </c>
      <c r="AD80" s="498"/>
      <c r="AE80" s="498"/>
      <c r="AF80" s="498"/>
      <c r="AG80" s="513">
        <f t="shared" si="63"/>
        <v>5490</v>
      </c>
      <c r="AH80" s="553"/>
      <c r="AI80" s="553"/>
      <c r="AJ80" s="553"/>
      <c r="AK80" s="553"/>
      <c r="AL80" s="514"/>
      <c r="AM80" s="514"/>
      <c r="AN80" s="513"/>
      <c r="AO80" s="483"/>
      <c r="AP80" s="481"/>
      <c r="AQ80" s="440"/>
      <c r="AR80" s="481"/>
      <c r="AS80" s="481"/>
      <c r="AT80" s="481"/>
      <c r="AU80" s="482"/>
    </row>
    <row r="81" spans="1:47" s="421" customFormat="1">
      <c r="A81" s="431" t="s">
        <v>433</v>
      </c>
      <c r="B81" s="435" t="s">
        <v>465</v>
      </c>
      <c r="C81" s="545">
        <f t="shared" si="60"/>
        <v>0</v>
      </c>
      <c r="D81" s="435"/>
      <c r="E81" s="435"/>
      <c r="F81" s="435"/>
      <c r="G81" s="435"/>
      <c r="H81" s="435"/>
      <c r="I81" s="435"/>
      <c r="J81" s="435"/>
      <c r="K81" s="461">
        <f>L81+U81+X81</f>
        <v>47580</v>
      </c>
      <c r="L81" s="461">
        <f>M81+N81</f>
        <v>47580</v>
      </c>
      <c r="M81" s="459">
        <f>P81+S81</f>
        <v>0</v>
      </c>
      <c r="N81" s="459">
        <f>Q81+T81</f>
        <v>47580</v>
      </c>
      <c r="O81" s="463">
        <f>P81+Q81</f>
        <v>47580</v>
      </c>
      <c r="P81" s="498"/>
      <c r="Q81" s="498">
        <v>47580</v>
      </c>
      <c r="R81" s="498"/>
      <c r="S81" s="498"/>
      <c r="T81" s="498"/>
      <c r="U81" s="498"/>
      <c r="V81" s="498"/>
      <c r="W81" s="498"/>
      <c r="X81" s="529"/>
      <c r="Y81" s="498">
        <f t="shared" si="61"/>
        <v>0</v>
      </c>
      <c r="Z81" s="498"/>
      <c r="AA81" s="498"/>
      <c r="AB81" s="498"/>
      <c r="AC81" s="498">
        <f t="shared" si="62"/>
        <v>0</v>
      </c>
      <c r="AD81" s="498"/>
      <c r="AE81" s="498"/>
      <c r="AF81" s="498"/>
      <c r="AG81" s="513">
        <f t="shared" si="63"/>
        <v>47580</v>
      </c>
      <c r="AH81" s="553"/>
      <c r="AI81" s="553"/>
      <c r="AJ81" s="553"/>
      <c r="AK81" s="553"/>
      <c r="AL81" s="514"/>
      <c r="AM81" s="514"/>
      <c r="AN81" s="513"/>
      <c r="AO81" s="483"/>
      <c r="AP81" s="481"/>
      <c r="AQ81" s="440"/>
      <c r="AR81" s="481"/>
      <c r="AS81" s="481"/>
      <c r="AT81" s="481"/>
      <c r="AU81" s="482"/>
    </row>
    <row r="82" spans="1:47" s="421" customFormat="1">
      <c r="A82" s="431" t="s">
        <v>433</v>
      </c>
      <c r="B82" s="435" t="s">
        <v>402</v>
      </c>
      <c r="C82" s="545">
        <f t="shared" si="60"/>
        <v>0</v>
      </c>
      <c r="D82" s="435"/>
      <c r="E82" s="435"/>
      <c r="F82" s="435"/>
      <c r="G82" s="435"/>
      <c r="H82" s="435"/>
      <c r="I82" s="435"/>
      <c r="J82" s="435"/>
      <c r="K82" s="461">
        <f t="shared" si="64"/>
        <v>39804</v>
      </c>
      <c r="L82" s="461">
        <f t="shared" si="65"/>
        <v>39804</v>
      </c>
      <c r="M82" s="459">
        <f t="shared" si="66"/>
        <v>0</v>
      </c>
      <c r="N82" s="459">
        <f t="shared" si="66"/>
        <v>39804</v>
      </c>
      <c r="O82" s="463">
        <f t="shared" si="59"/>
        <v>39804</v>
      </c>
      <c r="P82" s="498"/>
      <c r="Q82" s="498">
        <v>39804</v>
      </c>
      <c r="R82" s="498">
        <f t="shared" si="31"/>
        <v>0</v>
      </c>
      <c r="S82" s="498"/>
      <c r="T82" s="498"/>
      <c r="U82" s="498"/>
      <c r="V82" s="498"/>
      <c r="W82" s="498"/>
      <c r="X82" s="529"/>
      <c r="Y82" s="498">
        <f t="shared" si="61"/>
        <v>0</v>
      </c>
      <c r="Z82" s="498"/>
      <c r="AA82" s="498"/>
      <c r="AB82" s="498"/>
      <c r="AC82" s="498">
        <f t="shared" si="62"/>
        <v>0</v>
      </c>
      <c r="AD82" s="498"/>
      <c r="AE82" s="498"/>
      <c r="AF82" s="498"/>
      <c r="AG82" s="513">
        <f t="shared" si="63"/>
        <v>39804</v>
      </c>
      <c r="AH82" s="553"/>
      <c r="AI82" s="553"/>
      <c r="AJ82" s="553"/>
      <c r="AK82" s="553"/>
      <c r="AL82" s="514"/>
      <c r="AM82" s="514"/>
      <c r="AN82" s="513"/>
      <c r="AO82" s="483"/>
      <c r="AP82" s="481"/>
      <c r="AQ82" s="440"/>
      <c r="AR82" s="481"/>
      <c r="AS82" s="481"/>
      <c r="AT82" s="481"/>
      <c r="AU82" s="482"/>
    </row>
    <row r="83" spans="1:47" s="421" customFormat="1">
      <c r="A83" s="431"/>
      <c r="B83" s="435" t="s">
        <v>451</v>
      </c>
      <c r="C83" s="545">
        <f t="shared" si="60"/>
        <v>0</v>
      </c>
      <c r="D83" s="435"/>
      <c r="E83" s="435"/>
      <c r="F83" s="435"/>
      <c r="G83" s="435"/>
      <c r="H83" s="435"/>
      <c r="I83" s="435"/>
      <c r="J83" s="435"/>
      <c r="K83" s="461">
        <f t="shared" si="64"/>
        <v>10000</v>
      </c>
      <c r="L83" s="461">
        <f t="shared" si="65"/>
        <v>10000</v>
      </c>
      <c r="M83" s="459">
        <f t="shared" si="66"/>
        <v>0</v>
      </c>
      <c r="N83" s="459">
        <f t="shared" si="66"/>
        <v>10000</v>
      </c>
      <c r="O83" s="463">
        <f>P83+Q83</f>
        <v>10000</v>
      </c>
      <c r="P83" s="498"/>
      <c r="Q83" s="498">
        <v>10000</v>
      </c>
      <c r="R83" s="498">
        <f t="shared" si="31"/>
        <v>0</v>
      </c>
      <c r="S83" s="498"/>
      <c r="T83" s="498"/>
      <c r="U83" s="498"/>
      <c r="V83" s="498"/>
      <c r="W83" s="498"/>
      <c r="X83" s="529"/>
      <c r="Y83" s="498">
        <f t="shared" si="61"/>
        <v>0</v>
      </c>
      <c r="Z83" s="498"/>
      <c r="AA83" s="498"/>
      <c r="AB83" s="498"/>
      <c r="AC83" s="498">
        <f t="shared" si="62"/>
        <v>0</v>
      </c>
      <c r="AD83" s="498"/>
      <c r="AE83" s="498"/>
      <c r="AF83" s="498"/>
      <c r="AG83" s="513">
        <f t="shared" si="63"/>
        <v>10000</v>
      </c>
      <c r="AH83" s="553"/>
      <c r="AI83" s="553"/>
      <c r="AJ83" s="553"/>
      <c r="AK83" s="553"/>
      <c r="AL83" s="514"/>
      <c r="AM83" s="514"/>
      <c r="AN83" s="513"/>
      <c r="AO83" s="483"/>
      <c r="AP83" s="481"/>
      <c r="AQ83" s="440"/>
      <c r="AR83" s="481"/>
      <c r="AS83" s="481"/>
      <c r="AT83" s="481"/>
      <c r="AU83" s="482"/>
    </row>
    <row r="84" spans="1:47" s="422" customFormat="1">
      <c r="A84" s="432"/>
      <c r="B84" s="439" t="s">
        <v>444</v>
      </c>
      <c r="C84" s="545">
        <f t="shared" si="60"/>
        <v>0</v>
      </c>
      <c r="D84" s="439"/>
      <c r="E84" s="439"/>
      <c r="F84" s="439"/>
      <c r="G84" s="439"/>
      <c r="H84" s="439"/>
      <c r="I84" s="439"/>
      <c r="J84" s="439"/>
      <c r="K84" s="461">
        <f>L84+U84+X84</f>
        <v>3980.4</v>
      </c>
      <c r="L84" s="461">
        <f t="shared" si="65"/>
        <v>3980.4</v>
      </c>
      <c r="M84" s="459">
        <f t="shared" si="66"/>
        <v>0</v>
      </c>
      <c r="N84" s="459">
        <f t="shared" si="66"/>
        <v>3980.4</v>
      </c>
      <c r="O84" s="463">
        <f t="shared" si="59"/>
        <v>3980.4</v>
      </c>
      <c r="P84" s="463"/>
      <c r="Q84" s="463">
        <f>Q82*10%</f>
        <v>3980.4</v>
      </c>
      <c r="R84" s="463">
        <f t="shared" si="31"/>
        <v>0</v>
      </c>
      <c r="S84" s="463"/>
      <c r="T84" s="463"/>
      <c r="U84" s="463">
        <f t="shared" si="36"/>
        <v>0</v>
      </c>
      <c r="V84" s="463"/>
      <c r="W84" s="463"/>
      <c r="X84" s="532">
        <f>X82*10%</f>
        <v>0</v>
      </c>
      <c r="Y84" s="463">
        <f t="shared" si="61"/>
        <v>0</v>
      </c>
      <c r="Z84" s="463"/>
      <c r="AA84" s="463"/>
      <c r="AB84" s="463"/>
      <c r="AC84" s="463">
        <f t="shared" si="62"/>
        <v>0</v>
      </c>
      <c r="AD84" s="463"/>
      <c r="AE84" s="463"/>
      <c r="AF84" s="463"/>
      <c r="AG84" s="513">
        <f t="shared" si="63"/>
        <v>3980.4</v>
      </c>
      <c r="AH84" s="554"/>
      <c r="AI84" s="554"/>
      <c r="AJ84" s="554"/>
      <c r="AK84" s="554"/>
      <c r="AL84" s="514"/>
      <c r="AM84" s="514"/>
      <c r="AN84" s="513"/>
      <c r="AO84" s="452"/>
      <c r="AP84" s="443"/>
      <c r="AQ84" s="442"/>
      <c r="AR84" s="443"/>
      <c r="AS84" s="443"/>
      <c r="AT84" s="443"/>
      <c r="AU84" s="447"/>
    </row>
    <row r="85" spans="1:47" s="434" customFormat="1">
      <c r="A85" s="428">
        <v>5</v>
      </c>
      <c r="B85" s="433" t="s">
        <v>390</v>
      </c>
      <c r="C85" s="545">
        <f t="shared" si="60"/>
        <v>0</v>
      </c>
      <c r="D85" s="433">
        <f>D86+D87</f>
        <v>0</v>
      </c>
      <c r="E85" s="433">
        <f t="shared" ref="E85:J85" si="67">E86+E87</f>
        <v>0</v>
      </c>
      <c r="F85" s="433">
        <f t="shared" si="67"/>
        <v>0</v>
      </c>
      <c r="G85" s="433">
        <f t="shared" ref="G85" si="68">G86+G87</f>
        <v>0</v>
      </c>
      <c r="H85" s="433">
        <f t="shared" ref="H85" si="69">H86+H87</f>
        <v>0</v>
      </c>
      <c r="I85" s="433">
        <f t="shared" si="67"/>
        <v>0</v>
      </c>
      <c r="J85" s="433">
        <f t="shared" si="67"/>
        <v>0</v>
      </c>
      <c r="K85" s="458">
        <f>L85+U85+X85</f>
        <v>40290</v>
      </c>
      <c r="L85" s="458">
        <f t="shared" si="65"/>
        <v>37740</v>
      </c>
      <c r="M85" s="458">
        <f>M86+M87</f>
        <v>36915</v>
      </c>
      <c r="N85" s="458">
        <f>N86+N87</f>
        <v>825</v>
      </c>
      <c r="O85" s="458">
        <f>P85+Q85</f>
        <v>37740</v>
      </c>
      <c r="P85" s="458">
        <f>P86+P87</f>
        <v>36915</v>
      </c>
      <c r="Q85" s="458">
        <f>Q86+Q87</f>
        <v>825</v>
      </c>
      <c r="R85" s="458">
        <f t="shared" si="31"/>
        <v>0</v>
      </c>
      <c r="S85" s="458"/>
      <c r="T85" s="458"/>
      <c r="U85" s="458">
        <f>V85+W85</f>
        <v>2550</v>
      </c>
      <c r="V85" s="458">
        <f>V86+V87</f>
        <v>2550</v>
      </c>
      <c r="W85" s="458">
        <f>W86+W87</f>
        <v>0</v>
      </c>
      <c r="X85" s="522">
        <f>X86+X87</f>
        <v>0</v>
      </c>
      <c r="Y85" s="458">
        <f t="shared" si="61"/>
        <v>0</v>
      </c>
      <c r="Z85" s="458"/>
      <c r="AA85" s="458"/>
      <c r="AB85" s="458"/>
      <c r="AC85" s="458">
        <f t="shared" si="62"/>
        <v>0</v>
      </c>
      <c r="AD85" s="458"/>
      <c r="AE85" s="458"/>
      <c r="AF85" s="458"/>
      <c r="AG85" s="513">
        <f t="shared" si="63"/>
        <v>40290</v>
      </c>
      <c r="AH85" s="512"/>
      <c r="AI85" s="512"/>
      <c r="AJ85" s="512"/>
      <c r="AK85" s="512"/>
      <c r="AL85" s="514"/>
      <c r="AM85" s="514"/>
      <c r="AN85" s="513"/>
      <c r="AO85" s="449">
        <v>40290</v>
      </c>
      <c r="AP85" s="441">
        <f>K85-AO85</f>
        <v>0</v>
      </c>
      <c r="AQ85" s="441">
        <f>AR85+AS85</f>
        <v>0</v>
      </c>
      <c r="AR85" s="441">
        <f>AP85</f>
        <v>0</v>
      </c>
      <c r="AS85" s="441"/>
      <c r="AT85" s="441"/>
      <c r="AU85" s="445"/>
    </row>
    <row r="86" spans="1:47">
      <c r="A86" s="431" t="s">
        <v>93</v>
      </c>
      <c r="B86" s="435" t="s">
        <v>401</v>
      </c>
      <c r="C86" s="545">
        <f t="shared" si="60"/>
        <v>0</v>
      </c>
      <c r="D86" s="435"/>
      <c r="E86" s="435"/>
      <c r="F86" s="435"/>
      <c r="G86" s="435"/>
      <c r="H86" s="435"/>
      <c r="I86" s="435"/>
      <c r="J86" s="435"/>
      <c r="K86" s="461">
        <f t="shared" si="64"/>
        <v>39465</v>
      </c>
      <c r="L86" s="461">
        <f t="shared" si="65"/>
        <v>36915</v>
      </c>
      <c r="M86" s="459">
        <f t="shared" ref="M86:N88" si="70">P86+S86</f>
        <v>36915</v>
      </c>
      <c r="N86" s="459">
        <f t="shared" si="70"/>
        <v>0</v>
      </c>
      <c r="O86" s="461">
        <f t="shared" si="35"/>
        <v>36915</v>
      </c>
      <c r="P86" s="461">
        <f>35493+1422</f>
        <v>36915</v>
      </c>
      <c r="Q86" s="461"/>
      <c r="R86" s="461">
        <f t="shared" si="31"/>
        <v>0</v>
      </c>
      <c r="S86" s="461"/>
      <c r="T86" s="461"/>
      <c r="U86" s="461">
        <f t="shared" si="36"/>
        <v>2550</v>
      </c>
      <c r="V86" s="461">
        <v>2550</v>
      </c>
      <c r="W86" s="461"/>
      <c r="X86" s="526"/>
      <c r="Y86" s="461">
        <f t="shared" si="61"/>
        <v>0</v>
      </c>
      <c r="Z86" s="461"/>
      <c r="AA86" s="461"/>
      <c r="AB86" s="461"/>
      <c r="AC86" s="461">
        <f t="shared" si="62"/>
        <v>0</v>
      </c>
      <c r="AD86" s="461"/>
      <c r="AE86" s="461"/>
      <c r="AF86" s="461"/>
      <c r="AG86" s="513">
        <f t="shared" si="63"/>
        <v>39465</v>
      </c>
      <c r="AH86" s="513"/>
      <c r="AI86" s="513"/>
      <c r="AJ86" s="513"/>
      <c r="AK86" s="513"/>
      <c r="AL86" s="514"/>
      <c r="AM86" s="514"/>
      <c r="AN86" s="513"/>
      <c r="AO86" s="451"/>
    </row>
    <row r="87" spans="1:47">
      <c r="A87" s="431" t="s">
        <v>94</v>
      </c>
      <c r="B87" s="435" t="s">
        <v>402</v>
      </c>
      <c r="C87" s="545">
        <f t="shared" si="60"/>
        <v>0</v>
      </c>
      <c r="D87" s="435"/>
      <c r="E87" s="435"/>
      <c r="F87" s="435"/>
      <c r="G87" s="435"/>
      <c r="H87" s="435"/>
      <c r="I87" s="435"/>
      <c r="J87" s="435"/>
      <c r="K87" s="461">
        <f t="shared" si="64"/>
        <v>825</v>
      </c>
      <c r="L87" s="461">
        <f t="shared" si="65"/>
        <v>825</v>
      </c>
      <c r="M87" s="459">
        <f t="shared" si="70"/>
        <v>0</v>
      </c>
      <c r="N87" s="459">
        <f t="shared" si="70"/>
        <v>825</v>
      </c>
      <c r="O87" s="461">
        <f t="shared" si="35"/>
        <v>825</v>
      </c>
      <c r="P87" s="461"/>
      <c r="Q87" s="461">
        <f>Q88</f>
        <v>825</v>
      </c>
      <c r="R87" s="461">
        <f t="shared" si="31"/>
        <v>0</v>
      </c>
      <c r="S87" s="461"/>
      <c r="T87" s="461"/>
      <c r="U87" s="461">
        <f t="shared" si="36"/>
        <v>0</v>
      </c>
      <c r="V87" s="461"/>
      <c r="W87" s="461"/>
      <c r="X87" s="526"/>
      <c r="Y87" s="461">
        <f t="shared" si="61"/>
        <v>0</v>
      </c>
      <c r="Z87" s="461"/>
      <c r="AA87" s="461"/>
      <c r="AB87" s="461"/>
      <c r="AC87" s="461">
        <f t="shared" si="62"/>
        <v>0</v>
      </c>
      <c r="AD87" s="461"/>
      <c r="AE87" s="461"/>
      <c r="AF87" s="461"/>
      <c r="AG87" s="513">
        <f t="shared" si="63"/>
        <v>825</v>
      </c>
      <c r="AH87" s="513"/>
      <c r="AI87" s="513"/>
      <c r="AJ87" s="513"/>
      <c r="AK87" s="513"/>
      <c r="AL87" s="514"/>
      <c r="AM87" s="514"/>
      <c r="AN87" s="513"/>
      <c r="AO87" s="451"/>
    </row>
    <row r="88" spans="1:47">
      <c r="A88" s="431"/>
      <c r="B88" s="439" t="s">
        <v>444</v>
      </c>
      <c r="C88" s="545">
        <f t="shared" si="60"/>
        <v>0</v>
      </c>
      <c r="D88" s="439"/>
      <c r="E88" s="439"/>
      <c r="F88" s="439"/>
      <c r="G88" s="439"/>
      <c r="H88" s="439"/>
      <c r="I88" s="439"/>
      <c r="J88" s="439"/>
      <c r="K88" s="461">
        <f t="shared" si="64"/>
        <v>825</v>
      </c>
      <c r="L88" s="461">
        <f t="shared" si="65"/>
        <v>825</v>
      </c>
      <c r="M88" s="459">
        <f t="shared" si="70"/>
        <v>0</v>
      </c>
      <c r="N88" s="459">
        <f t="shared" si="70"/>
        <v>825</v>
      </c>
      <c r="O88" s="461">
        <f t="shared" si="35"/>
        <v>825</v>
      </c>
      <c r="P88" s="461"/>
      <c r="Q88" s="461">
        <v>825</v>
      </c>
      <c r="R88" s="461">
        <f t="shared" si="31"/>
        <v>0</v>
      </c>
      <c r="S88" s="461"/>
      <c r="T88" s="461"/>
      <c r="U88" s="461"/>
      <c r="V88" s="461"/>
      <c r="W88" s="461"/>
      <c r="X88" s="526"/>
      <c r="Y88" s="461">
        <f t="shared" si="61"/>
        <v>0</v>
      </c>
      <c r="Z88" s="461"/>
      <c r="AA88" s="461"/>
      <c r="AB88" s="461"/>
      <c r="AC88" s="461">
        <f t="shared" si="62"/>
        <v>0</v>
      </c>
      <c r="AD88" s="461"/>
      <c r="AE88" s="461"/>
      <c r="AF88" s="461"/>
      <c r="AG88" s="513">
        <f t="shared" si="63"/>
        <v>825</v>
      </c>
      <c r="AH88" s="513"/>
      <c r="AI88" s="513"/>
      <c r="AJ88" s="513"/>
      <c r="AK88" s="513"/>
      <c r="AL88" s="514"/>
      <c r="AM88" s="514"/>
      <c r="AN88" s="513"/>
      <c r="AO88" s="451"/>
    </row>
    <row r="89" spans="1:47" s="434" customFormat="1" ht="31.5">
      <c r="A89" s="428">
        <v>6</v>
      </c>
      <c r="B89" s="433" t="s">
        <v>391</v>
      </c>
      <c r="C89" s="545">
        <f t="shared" si="60"/>
        <v>0</v>
      </c>
      <c r="D89" s="433">
        <f>D90+D93</f>
        <v>0</v>
      </c>
      <c r="E89" s="433">
        <f t="shared" ref="E89:J89" si="71">E90+E93</f>
        <v>0</v>
      </c>
      <c r="F89" s="433">
        <f t="shared" si="71"/>
        <v>0</v>
      </c>
      <c r="G89" s="433">
        <f t="shared" ref="G89" si="72">G90+G93</f>
        <v>0</v>
      </c>
      <c r="H89" s="433">
        <f t="shared" ref="H89" si="73">H90+H93</f>
        <v>0</v>
      </c>
      <c r="I89" s="433">
        <f t="shared" si="71"/>
        <v>0</v>
      </c>
      <c r="J89" s="433">
        <f t="shared" si="71"/>
        <v>0</v>
      </c>
      <c r="K89" s="458">
        <f>L89+U89+X89</f>
        <v>184232</v>
      </c>
      <c r="L89" s="458">
        <f t="shared" si="65"/>
        <v>131941</v>
      </c>
      <c r="M89" s="458">
        <f>M90+M93</f>
        <v>50060</v>
      </c>
      <c r="N89" s="458">
        <f>N90+N93</f>
        <v>81881</v>
      </c>
      <c r="O89" s="458">
        <f>P89+Q89</f>
        <v>131941</v>
      </c>
      <c r="P89" s="458">
        <f>P90+P93</f>
        <v>50060</v>
      </c>
      <c r="Q89" s="458">
        <f>Q90+Q93</f>
        <v>81881</v>
      </c>
      <c r="R89" s="458">
        <f t="shared" si="31"/>
        <v>0</v>
      </c>
      <c r="S89" s="458"/>
      <c r="T89" s="458"/>
      <c r="U89" s="458">
        <f>V89+W89</f>
        <v>52291</v>
      </c>
      <c r="V89" s="458">
        <f>V90+V93</f>
        <v>52291</v>
      </c>
      <c r="W89" s="458">
        <f>W90+W93</f>
        <v>0</v>
      </c>
      <c r="X89" s="533">
        <f>X90+X93</f>
        <v>0</v>
      </c>
      <c r="Y89" s="458">
        <f t="shared" si="61"/>
        <v>0</v>
      </c>
      <c r="Z89" s="458"/>
      <c r="AA89" s="458"/>
      <c r="AB89" s="458"/>
      <c r="AC89" s="458">
        <f t="shared" si="62"/>
        <v>0</v>
      </c>
      <c r="AD89" s="458"/>
      <c r="AE89" s="458"/>
      <c r="AF89" s="458"/>
      <c r="AG89" s="513">
        <f t="shared" si="63"/>
        <v>184232</v>
      </c>
      <c r="AH89" s="512"/>
      <c r="AI89" s="512"/>
      <c r="AJ89" s="512"/>
      <c r="AK89" s="512"/>
      <c r="AL89" s="514"/>
      <c r="AM89" s="514"/>
      <c r="AN89" s="513"/>
      <c r="AO89" s="449">
        <v>184226</v>
      </c>
      <c r="AP89" s="441">
        <f>K89-AO89</f>
        <v>6</v>
      </c>
      <c r="AQ89" s="441">
        <f>AR89+AS89</f>
        <v>0</v>
      </c>
      <c r="AR89" s="441"/>
      <c r="AS89" s="441"/>
      <c r="AT89" s="441"/>
      <c r="AU89" s="445"/>
    </row>
    <row r="90" spans="1:47">
      <c r="A90" s="431" t="s">
        <v>96</v>
      </c>
      <c r="B90" s="436" t="s">
        <v>401</v>
      </c>
      <c r="C90" s="545">
        <f t="shared" si="60"/>
        <v>0</v>
      </c>
      <c r="D90" s="436"/>
      <c r="E90" s="436"/>
      <c r="F90" s="436"/>
      <c r="G90" s="436"/>
      <c r="H90" s="436"/>
      <c r="I90" s="436"/>
      <c r="J90" s="436"/>
      <c r="K90" s="461">
        <f t="shared" si="64"/>
        <v>102351</v>
      </c>
      <c r="L90" s="461">
        <f t="shared" si="65"/>
        <v>50060</v>
      </c>
      <c r="M90" s="461">
        <f>M91+M92</f>
        <v>50060</v>
      </c>
      <c r="N90" s="461">
        <f>N91+N92</f>
        <v>0</v>
      </c>
      <c r="O90" s="461">
        <f t="shared" si="35"/>
        <v>50060</v>
      </c>
      <c r="P90" s="461">
        <f>P91+P92</f>
        <v>50060</v>
      </c>
      <c r="Q90" s="461">
        <f>Q91+Q92</f>
        <v>0</v>
      </c>
      <c r="R90" s="461">
        <f t="shared" si="31"/>
        <v>0</v>
      </c>
      <c r="S90" s="461"/>
      <c r="T90" s="461"/>
      <c r="U90" s="461">
        <f t="shared" si="36"/>
        <v>52291</v>
      </c>
      <c r="V90" s="461">
        <f>V91+V92</f>
        <v>52291</v>
      </c>
      <c r="W90" s="461">
        <f>W91+W92</f>
        <v>0</v>
      </c>
      <c r="X90" s="526"/>
      <c r="Y90" s="461">
        <f t="shared" si="61"/>
        <v>0</v>
      </c>
      <c r="Z90" s="461"/>
      <c r="AA90" s="461"/>
      <c r="AB90" s="461"/>
      <c r="AC90" s="461">
        <f t="shared" si="62"/>
        <v>0</v>
      </c>
      <c r="AD90" s="461"/>
      <c r="AE90" s="461"/>
      <c r="AF90" s="461"/>
      <c r="AG90" s="513">
        <f t="shared" si="63"/>
        <v>102351</v>
      </c>
      <c r="AH90" s="513"/>
      <c r="AI90" s="513"/>
      <c r="AJ90" s="513"/>
      <c r="AK90" s="513"/>
      <c r="AL90" s="514"/>
      <c r="AM90" s="514"/>
      <c r="AN90" s="513"/>
      <c r="AO90" s="451"/>
      <c r="AP90" s="440">
        <f>'BTC-Chinh thuc'!H90</f>
        <v>78048.807409999994</v>
      </c>
      <c r="AQ90" s="440">
        <f>AR90+AS90</f>
        <v>78048.807409999994</v>
      </c>
      <c r="AR90" s="440">
        <f>AP90</f>
        <v>78048.807409999994</v>
      </c>
      <c r="AU90" s="444">
        <f>'BTC-Chinh thuc'!M90</f>
        <v>-96127.192590000006</v>
      </c>
    </row>
    <row r="91" spans="1:47" s="424" customFormat="1">
      <c r="A91" s="432" t="s">
        <v>257</v>
      </c>
      <c r="B91" s="435" t="s">
        <v>37</v>
      </c>
      <c r="C91" s="545">
        <f t="shared" si="60"/>
        <v>0</v>
      </c>
      <c r="D91" s="435"/>
      <c r="E91" s="435"/>
      <c r="F91" s="435"/>
      <c r="G91" s="435"/>
      <c r="H91" s="435"/>
      <c r="I91" s="435"/>
      <c r="J91" s="435"/>
      <c r="K91" s="459">
        <f t="shared" si="64"/>
        <v>85231</v>
      </c>
      <c r="L91" s="461">
        <f t="shared" si="65"/>
        <v>32940</v>
      </c>
      <c r="M91" s="459">
        <f>P91+S91</f>
        <v>32940</v>
      </c>
      <c r="N91" s="459">
        <f>Q91+T91</f>
        <v>0</v>
      </c>
      <c r="O91" s="459">
        <f t="shared" si="35"/>
        <v>32940</v>
      </c>
      <c r="P91" s="459">
        <f>16470+16470</f>
        <v>32940</v>
      </c>
      <c r="Q91" s="459"/>
      <c r="R91" s="459">
        <f t="shared" si="31"/>
        <v>0</v>
      </c>
      <c r="S91" s="459"/>
      <c r="T91" s="459"/>
      <c r="U91" s="459">
        <f t="shared" si="36"/>
        <v>52291</v>
      </c>
      <c r="V91" s="459">
        <v>52291</v>
      </c>
      <c r="W91" s="459"/>
      <c r="X91" s="525"/>
      <c r="Y91" s="459">
        <f t="shared" si="61"/>
        <v>0</v>
      </c>
      <c r="Z91" s="459"/>
      <c r="AA91" s="459"/>
      <c r="AB91" s="459"/>
      <c r="AC91" s="459">
        <f t="shared" si="62"/>
        <v>0</v>
      </c>
      <c r="AD91" s="459"/>
      <c r="AE91" s="459"/>
      <c r="AF91" s="459"/>
      <c r="AG91" s="513">
        <f t="shared" si="63"/>
        <v>85231</v>
      </c>
      <c r="AH91" s="520"/>
      <c r="AI91" s="520"/>
      <c r="AJ91" s="520"/>
      <c r="AK91" s="520"/>
      <c r="AL91" s="514"/>
      <c r="AM91" s="514"/>
      <c r="AN91" s="513"/>
      <c r="AO91" s="450"/>
      <c r="AP91" s="442"/>
      <c r="AQ91" s="442"/>
      <c r="AR91" s="442"/>
      <c r="AS91" s="442"/>
      <c r="AT91" s="442"/>
      <c r="AU91" s="446"/>
    </row>
    <row r="92" spans="1:47" s="424" customFormat="1">
      <c r="A92" s="432" t="s">
        <v>433</v>
      </c>
      <c r="B92" s="435" t="s">
        <v>437</v>
      </c>
      <c r="C92" s="545">
        <f t="shared" si="60"/>
        <v>0</v>
      </c>
      <c r="D92" s="435"/>
      <c r="E92" s="435"/>
      <c r="F92" s="435"/>
      <c r="G92" s="435"/>
      <c r="H92" s="435"/>
      <c r="I92" s="435"/>
      <c r="J92" s="435"/>
      <c r="K92" s="459">
        <f t="shared" si="64"/>
        <v>17120</v>
      </c>
      <c r="L92" s="461">
        <f t="shared" si="65"/>
        <v>17120</v>
      </c>
      <c r="M92" s="459">
        <f>P92+S92</f>
        <v>17120</v>
      </c>
      <c r="N92" s="459">
        <f>Q92+T92</f>
        <v>0</v>
      </c>
      <c r="O92" s="459">
        <f t="shared" si="35"/>
        <v>17120</v>
      </c>
      <c r="P92" s="459">
        <f>17120</f>
        <v>17120</v>
      </c>
      <c r="Q92" s="459"/>
      <c r="R92" s="459">
        <f t="shared" si="31"/>
        <v>0</v>
      </c>
      <c r="S92" s="459"/>
      <c r="T92" s="459"/>
      <c r="U92" s="459">
        <f t="shared" si="36"/>
        <v>0</v>
      </c>
      <c r="V92" s="459"/>
      <c r="W92" s="459"/>
      <c r="X92" s="525"/>
      <c r="Y92" s="459">
        <f t="shared" si="61"/>
        <v>0</v>
      </c>
      <c r="Z92" s="459"/>
      <c r="AA92" s="459"/>
      <c r="AB92" s="459"/>
      <c r="AC92" s="459">
        <f t="shared" si="62"/>
        <v>0</v>
      </c>
      <c r="AD92" s="459"/>
      <c r="AE92" s="459"/>
      <c r="AF92" s="459"/>
      <c r="AG92" s="513">
        <f t="shared" si="63"/>
        <v>17120</v>
      </c>
      <c r="AH92" s="520"/>
      <c r="AI92" s="520"/>
      <c r="AJ92" s="520"/>
      <c r="AK92" s="520"/>
      <c r="AL92" s="514"/>
      <c r="AM92" s="514"/>
      <c r="AN92" s="513"/>
      <c r="AO92" s="450"/>
      <c r="AP92" s="442"/>
      <c r="AQ92" s="442"/>
      <c r="AR92" s="442"/>
      <c r="AS92" s="442"/>
      <c r="AT92" s="442"/>
      <c r="AU92" s="446"/>
    </row>
    <row r="93" spans="1:47">
      <c r="A93" s="431" t="s">
        <v>97</v>
      </c>
      <c r="B93" s="480" t="s">
        <v>402</v>
      </c>
      <c r="C93" s="545">
        <f t="shared" si="60"/>
        <v>0</v>
      </c>
      <c r="D93" s="480"/>
      <c r="E93" s="480"/>
      <c r="F93" s="480"/>
      <c r="G93" s="480"/>
      <c r="H93" s="480"/>
      <c r="I93" s="480"/>
      <c r="J93" s="480"/>
      <c r="K93" s="461">
        <f t="shared" si="64"/>
        <v>81881</v>
      </c>
      <c r="L93" s="461">
        <f>M93+N93</f>
        <v>81881</v>
      </c>
      <c r="M93" s="461">
        <f>M94+M96+M95</f>
        <v>0</v>
      </c>
      <c r="N93" s="461">
        <f>N94+N96+N95</f>
        <v>81881</v>
      </c>
      <c r="O93" s="461">
        <f t="shared" ref="O93:O98" si="74">P93+Q93</f>
        <v>81881</v>
      </c>
      <c r="P93" s="461">
        <f>SUM(P94:P96)</f>
        <v>0</v>
      </c>
      <c r="Q93" s="461">
        <f>SUM(Q94:Q96)</f>
        <v>81881</v>
      </c>
      <c r="R93" s="461">
        <f t="shared" si="31"/>
        <v>0</v>
      </c>
      <c r="S93" s="461"/>
      <c r="T93" s="461"/>
      <c r="U93" s="461">
        <f t="shared" si="36"/>
        <v>0</v>
      </c>
      <c r="V93" s="461">
        <f>SUM(V94:V96)</f>
        <v>0</v>
      </c>
      <c r="W93" s="461">
        <f>SUM(W94:W96)</f>
        <v>0</v>
      </c>
      <c r="X93" s="523">
        <f>SUM(X94:X96)</f>
        <v>0</v>
      </c>
      <c r="Y93" s="461">
        <f t="shared" si="61"/>
        <v>0</v>
      </c>
      <c r="Z93" s="461"/>
      <c r="AA93" s="461"/>
      <c r="AB93" s="461"/>
      <c r="AC93" s="461">
        <f t="shared" si="62"/>
        <v>0</v>
      </c>
      <c r="AD93" s="461"/>
      <c r="AE93" s="461"/>
      <c r="AF93" s="461"/>
      <c r="AG93" s="513">
        <f t="shared" si="63"/>
        <v>81881</v>
      </c>
      <c r="AH93" s="513"/>
      <c r="AI93" s="513"/>
      <c r="AJ93" s="513"/>
      <c r="AK93" s="513"/>
      <c r="AL93" s="514"/>
      <c r="AM93" s="514"/>
      <c r="AN93" s="513"/>
      <c r="AO93" s="451"/>
      <c r="AQ93" s="440">
        <f>AR93+AS93</f>
        <v>0</v>
      </c>
    </row>
    <row r="94" spans="1:47">
      <c r="A94" s="431" t="s">
        <v>433</v>
      </c>
      <c r="B94" s="435" t="s">
        <v>446</v>
      </c>
      <c r="C94" s="545">
        <f t="shared" si="60"/>
        <v>0</v>
      </c>
      <c r="D94" s="435"/>
      <c r="E94" s="435"/>
      <c r="F94" s="435"/>
      <c r="G94" s="435"/>
      <c r="H94" s="435"/>
      <c r="I94" s="435"/>
      <c r="J94" s="435"/>
      <c r="K94" s="461">
        <f t="shared" si="64"/>
        <v>581</v>
      </c>
      <c r="L94" s="461">
        <f t="shared" si="65"/>
        <v>581</v>
      </c>
      <c r="M94" s="459">
        <f t="shared" ref="M94:N97" si="75">P94+S94</f>
        <v>0</v>
      </c>
      <c r="N94" s="459">
        <f t="shared" si="75"/>
        <v>581</v>
      </c>
      <c r="O94" s="461">
        <f t="shared" si="74"/>
        <v>581</v>
      </c>
      <c r="P94" s="461"/>
      <c r="Q94" s="461">
        <v>581</v>
      </c>
      <c r="R94" s="461">
        <f t="shared" si="31"/>
        <v>0</v>
      </c>
      <c r="S94" s="461"/>
      <c r="T94" s="461"/>
      <c r="U94" s="461">
        <f t="shared" si="36"/>
        <v>0</v>
      </c>
      <c r="V94" s="461"/>
      <c r="W94" s="461"/>
      <c r="X94" s="526"/>
      <c r="Y94" s="461">
        <f t="shared" si="61"/>
        <v>0</v>
      </c>
      <c r="Z94" s="461"/>
      <c r="AA94" s="461"/>
      <c r="AB94" s="461"/>
      <c r="AC94" s="461">
        <f t="shared" si="62"/>
        <v>0</v>
      </c>
      <c r="AD94" s="461"/>
      <c r="AE94" s="461"/>
      <c r="AF94" s="461"/>
      <c r="AG94" s="513">
        <f t="shared" si="63"/>
        <v>581</v>
      </c>
      <c r="AH94" s="513"/>
      <c r="AI94" s="513"/>
      <c r="AJ94" s="513"/>
      <c r="AK94" s="513"/>
      <c r="AL94" s="514"/>
      <c r="AM94" s="514"/>
      <c r="AN94" s="513"/>
      <c r="AO94" s="451"/>
    </row>
    <row r="95" spans="1:47">
      <c r="A95" s="431" t="s">
        <v>433</v>
      </c>
      <c r="B95" s="435" t="s">
        <v>465</v>
      </c>
      <c r="C95" s="545">
        <f t="shared" si="60"/>
        <v>0</v>
      </c>
      <c r="D95" s="435"/>
      <c r="E95" s="435"/>
      <c r="F95" s="435"/>
      <c r="G95" s="435"/>
      <c r="H95" s="435"/>
      <c r="I95" s="435"/>
      <c r="J95" s="435"/>
      <c r="K95" s="461">
        <f>L95+U95+X95</f>
        <v>71300</v>
      </c>
      <c r="L95" s="461">
        <f>M95+N95</f>
        <v>71300</v>
      </c>
      <c r="M95" s="459">
        <f>P95+S95</f>
        <v>0</v>
      </c>
      <c r="N95" s="459">
        <f>Q95+T95</f>
        <v>71300</v>
      </c>
      <c r="O95" s="461">
        <f t="shared" si="74"/>
        <v>71300</v>
      </c>
      <c r="P95" s="461"/>
      <c r="Q95" s="461">
        <v>71300</v>
      </c>
      <c r="R95" s="461"/>
      <c r="S95" s="461"/>
      <c r="T95" s="461"/>
      <c r="U95" s="461"/>
      <c r="V95" s="461"/>
      <c r="W95" s="461"/>
      <c r="X95" s="526"/>
      <c r="Y95" s="461">
        <f t="shared" si="61"/>
        <v>0</v>
      </c>
      <c r="Z95" s="461"/>
      <c r="AA95" s="461"/>
      <c r="AB95" s="461"/>
      <c r="AC95" s="461">
        <f t="shared" si="62"/>
        <v>0</v>
      </c>
      <c r="AD95" s="461"/>
      <c r="AE95" s="461"/>
      <c r="AF95" s="461"/>
      <c r="AG95" s="513">
        <f t="shared" si="63"/>
        <v>71300</v>
      </c>
      <c r="AH95" s="513"/>
      <c r="AI95" s="513"/>
      <c r="AJ95" s="513"/>
      <c r="AK95" s="513"/>
      <c r="AL95" s="514"/>
      <c r="AM95" s="514"/>
      <c r="AN95" s="513"/>
      <c r="AO95" s="451"/>
    </row>
    <row r="96" spans="1:47">
      <c r="A96" s="431" t="s">
        <v>433</v>
      </c>
      <c r="B96" s="435" t="s">
        <v>402</v>
      </c>
      <c r="C96" s="545">
        <f t="shared" si="60"/>
        <v>0</v>
      </c>
      <c r="D96" s="435"/>
      <c r="E96" s="435"/>
      <c r="F96" s="435"/>
      <c r="G96" s="435"/>
      <c r="H96" s="435"/>
      <c r="I96" s="435"/>
      <c r="J96" s="435"/>
      <c r="K96" s="461">
        <f t="shared" si="64"/>
        <v>10000</v>
      </c>
      <c r="L96" s="461">
        <f t="shared" si="65"/>
        <v>10000</v>
      </c>
      <c r="M96" s="459">
        <f t="shared" si="75"/>
        <v>0</v>
      </c>
      <c r="N96" s="459">
        <f t="shared" si="75"/>
        <v>10000</v>
      </c>
      <c r="O96" s="461">
        <f t="shared" si="74"/>
        <v>10000</v>
      </c>
      <c r="P96" s="461"/>
      <c r="Q96" s="461">
        <f>10000</f>
        <v>10000</v>
      </c>
      <c r="R96" s="461">
        <f t="shared" si="31"/>
        <v>0</v>
      </c>
      <c r="S96" s="461"/>
      <c r="T96" s="461"/>
      <c r="U96" s="461">
        <f t="shared" si="36"/>
        <v>0</v>
      </c>
      <c r="V96" s="461"/>
      <c r="W96" s="461"/>
      <c r="X96" s="526"/>
      <c r="Y96" s="461">
        <f t="shared" si="61"/>
        <v>0</v>
      </c>
      <c r="Z96" s="461"/>
      <c r="AA96" s="461"/>
      <c r="AB96" s="461"/>
      <c r="AC96" s="461">
        <f t="shared" si="62"/>
        <v>0</v>
      </c>
      <c r="AD96" s="461"/>
      <c r="AE96" s="461"/>
      <c r="AF96" s="461"/>
      <c r="AG96" s="513">
        <f t="shared" si="63"/>
        <v>10000</v>
      </c>
      <c r="AH96" s="513"/>
      <c r="AI96" s="513"/>
      <c r="AJ96" s="513"/>
      <c r="AK96" s="513"/>
      <c r="AL96" s="514"/>
      <c r="AM96" s="514"/>
      <c r="AN96" s="513"/>
      <c r="AO96" s="451"/>
    </row>
    <row r="97" spans="1:47">
      <c r="A97" s="431"/>
      <c r="B97" s="435" t="s">
        <v>447</v>
      </c>
      <c r="C97" s="545">
        <f t="shared" si="60"/>
        <v>0</v>
      </c>
      <c r="D97" s="435"/>
      <c r="E97" s="435"/>
      <c r="F97" s="435"/>
      <c r="G97" s="435"/>
      <c r="H97" s="435"/>
      <c r="I97" s="435"/>
      <c r="J97" s="435"/>
      <c r="K97" s="461">
        <f t="shared" si="64"/>
        <v>1000</v>
      </c>
      <c r="L97" s="461">
        <f t="shared" si="65"/>
        <v>1000</v>
      </c>
      <c r="M97" s="459">
        <f t="shared" si="75"/>
        <v>0</v>
      </c>
      <c r="N97" s="459">
        <f t="shared" si="75"/>
        <v>1000</v>
      </c>
      <c r="O97" s="461">
        <f t="shared" si="74"/>
        <v>1000</v>
      </c>
      <c r="P97" s="461"/>
      <c r="Q97" s="461">
        <f>Q96*10%</f>
        <v>1000</v>
      </c>
      <c r="R97" s="461">
        <f t="shared" si="31"/>
        <v>0</v>
      </c>
      <c r="S97" s="461"/>
      <c r="T97" s="461"/>
      <c r="U97" s="461">
        <f t="shared" si="36"/>
        <v>0</v>
      </c>
      <c r="V97" s="461"/>
      <c r="W97" s="461"/>
      <c r="X97" s="523">
        <f>X96*10%</f>
        <v>0</v>
      </c>
      <c r="Y97" s="461">
        <f t="shared" si="61"/>
        <v>0</v>
      </c>
      <c r="Z97" s="461"/>
      <c r="AA97" s="461"/>
      <c r="AB97" s="461"/>
      <c r="AC97" s="461">
        <f t="shared" si="62"/>
        <v>0</v>
      </c>
      <c r="AD97" s="461"/>
      <c r="AE97" s="461"/>
      <c r="AF97" s="461"/>
      <c r="AG97" s="513">
        <f t="shared" si="63"/>
        <v>1000</v>
      </c>
      <c r="AH97" s="513"/>
      <c r="AI97" s="513"/>
      <c r="AJ97" s="513"/>
      <c r="AK97" s="513"/>
      <c r="AL97" s="514"/>
      <c r="AM97" s="514"/>
      <c r="AN97" s="513"/>
      <c r="AO97" s="451"/>
    </row>
    <row r="98" spans="1:47" s="434" customFormat="1" ht="31.5">
      <c r="A98" s="428">
        <v>7</v>
      </c>
      <c r="B98" s="433" t="s">
        <v>392</v>
      </c>
      <c r="C98" s="545">
        <f t="shared" si="60"/>
        <v>0</v>
      </c>
      <c r="D98" s="433">
        <f>D99+D102</f>
        <v>0</v>
      </c>
      <c r="E98" s="433">
        <f t="shared" ref="E98:J98" si="76">E99+E102</f>
        <v>0</v>
      </c>
      <c r="F98" s="433">
        <f t="shared" si="76"/>
        <v>0</v>
      </c>
      <c r="G98" s="433">
        <f t="shared" ref="G98" si="77">G99+G102</f>
        <v>0</v>
      </c>
      <c r="H98" s="433">
        <f t="shared" ref="H98" si="78">H99+H102</f>
        <v>0</v>
      </c>
      <c r="I98" s="433">
        <f t="shared" si="76"/>
        <v>0</v>
      </c>
      <c r="J98" s="433">
        <f t="shared" si="76"/>
        <v>0</v>
      </c>
      <c r="K98" s="458">
        <f t="shared" si="64"/>
        <v>48072</v>
      </c>
      <c r="L98" s="458">
        <f t="shared" si="65"/>
        <v>19150</v>
      </c>
      <c r="M98" s="458">
        <f>M99+M102</f>
        <v>16286</v>
      </c>
      <c r="N98" s="458">
        <f>N99+N102</f>
        <v>2864</v>
      </c>
      <c r="O98" s="458">
        <f t="shared" si="74"/>
        <v>19150</v>
      </c>
      <c r="P98" s="458">
        <f>P99+P102</f>
        <v>16286</v>
      </c>
      <c r="Q98" s="458">
        <f>Q99+Q102</f>
        <v>2864</v>
      </c>
      <c r="R98" s="458">
        <f t="shared" si="31"/>
        <v>0</v>
      </c>
      <c r="S98" s="458"/>
      <c r="T98" s="458"/>
      <c r="U98" s="458">
        <f>V98+W98</f>
        <v>28922</v>
      </c>
      <c r="V98" s="458">
        <f>V99+V102</f>
        <v>28922</v>
      </c>
      <c r="W98" s="458">
        <f>W99+W102</f>
        <v>0</v>
      </c>
      <c r="X98" s="522">
        <f>X99+X102</f>
        <v>0</v>
      </c>
      <c r="Y98" s="458">
        <f t="shared" si="61"/>
        <v>0</v>
      </c>
      <c r="Z98" s="458"/>
      <c r="AA98" s="458"/>
      <c r="AB98" s="458"/>
      <c r="AC98" s="458">
        <f t="shared" si="62"/>
        <v>0</v>
      </c>
      <c r="AD98" s="458"/>
      <c r="AE98" s="458"/>
      <c r="AF98" s="458"/>
      <c r="AG98" s="513">
        <f t="shared" si="63"/>
        <v>48072</v>
      </c>
      <c r="AH98" s="512"/>
      <c r="AI98" s="512"/>
      <c r="AJ98" s="512"/>
      <c r="AK98" s="512"/>
      <c r="AL98" s="514"/>
      <c r="AM98" s="514"/>
      <c r="AN98" s="513"/>
      <c r="AO98" s="449">
        <v>48078</v>
      </c>
      <c r="AP98" s="441">
        <f>K98-AO98</f>
        <v>-6</v>
      </c>
      <c r="AQ98" s="441">
        <f>AR98+AS98</f>
        <v>0</v>
      </c>
      <c r="AR98" s="441"/>
      <c r="AS98" s="441"/>
      <c r="AT98" s="441"/>
      <c r="AU98" s="445">
        <f>'BTC-Chinh thuc'!M100</f>
        <v>-4057.5881200000003</v>
      </c>
    </row>
    <row r="99" spans="1:47">
      <c r="A99" s="431" t="s">
        <v>100</v>
      </c>
      <c r="B99" s="436" t="s">
        <v>401</v>
      </c>
      <c r="C99" s="545">
        <f t="shared" si="60"/>
        <v>0</v>
      </c>
      <c r="D99" s="436"/>
      <c r="E99" s="436"/>
      <c r="F99" s="436"/>
      <c r="G99" s="436"/>
      <c r="H99" s="436"/>
      <c r="I99" s="436"/>
      <c r="J99" s="436"/>
      <c r="K99" s="461">
        <f t="shared" si="64"/>
        <v>45208</v>
      </c>
      <c r="L99" s="461">
        <f t="shared" si="65"/>
        <v>16286</v>
      </c>
      <c r="M99" s="461">
        <f>M100+M101</f>
        <v>16286</v>
      </c>
      <c r="N99" s="461">
        <f>N100+N101</f>
        <v>0</v>
      </c>
      <c r="O99" s="461">
        <f t="shared" si="35"/>
        <v>16286</v>
      </c>
      <c r="P99" s="461">
        <f>P100+P101</f>
        <v>16286</v>
      </c>
      <c r="Q99" s="461">
        <f>Q100+Q101</f>
        <v>0</v>
      </c>
      <c r="R99" s="461">
        <f t="shared" si="31"/>
        <v>0</v>
      </c>
      <c r="S99" s="461"/>
      <c r="T99" s="461"/>
      <c r="U99" s="461">
        <f t="shared" si="36"/>
        <v>28922</v>
      </c>
      <c r="V99" s="461">
        <f>V100+V101</f>
        <v>28922</v>
      </c>
      <c r="W99" s="461">
        <f>W100+W101</f>
        <v>0</v>
      </c>
      <c r="X99" s="526"/>
      <c r="Y99" s="461">
        <f t="shared" si="61"/>
        <v>0</v>
      </c>
      <c r="Z99" s="461"/>
      <c r="AA99" s="461"/>
      <c r="AB99" s="461"/>
      <c r="AC99" s="461">
        <f t="shared" si="62"/>
        <v>0</v>
      </c>
      <c r="AD99" s="461"/>
      <c r="AE99" s="461"/>
      <c r="AF99" s="461"/>
      <c r="AG99" s="513">
        <f t="shared" si="63"/>
        <v>45208</v>
      </c>
      <c r="AH99" s="513"/>
      <c r="AI99" s="513"/>
      <c r="AJ99" s="513"/>
      <c r="AK99" s="513"/>
      <c r="AL99" s="514"/>
      <c r="AM99" s="514"/>
      <c r="AN99" s="513"/>
      <c r="AO99" s="451"/>
      <c r="AQ99" s="440">
        <f>AR99+AS99</f>
        <v>0</v>
      </c>
    </row>
    <row r="100" spans="1:47" s="424" customFormat="1">
      <c r="A100" s="432" t="s">
        <v>433</v>
      </c>
      <c r="B100" s="435" t="s">
        <v>37</v>
      </c>
      <c r="C100" s="545">
        <f t="shared" si="60"/>
        <v>0</v>
      </c>
      <c r="D100" s="435"/>
      <c r="E100" s="435"/>
      <c r="F100" s="435"/>
      <c r="G100" s="435"/>
      <c r="H100" s="435"/>
      <c r="I100" s="435"/>
      <c r="J100" s="435"/>
      <c r="K100" s="461">
        <f t="shared" si="64"/>
        <v>40897</v>
      </c>
      <c r="L100" s="461">
        <f t="shared" si="65"/>
        <v>11975</v>
      </c>
      <c r="M100" s="459">
        <f>P100+S100</f>
        <v>11975</v>
      </c>
      <c r="N100" s="459">
        <f>Q100+T100</f>
        <v>0</v>
      </c>
      <c r="O100" s="459">
        <f t="shared" si="35"/>
        <v>11975</v>
      </c>
      <c r="P100" s="459">
        <f>11975</f>
        <v>11975</v>
      </c>
      <c r="Q100" s="459"/>
      <c r="R100" s="459">
        <f t="shared" si="31"/>
        <v>0</v>
      </c>
      <c r="S100" s="459"/>
      <c r="T100" s="459"/>
      <c r="U100" s="459">
        <f t="shared" si="36"/>
        <v>28922</v>
      </c>
      <c r="V100" s="459">
        <v>28922</v>
      </c>
      <c r="W100" s="459"/>
      <c r="X100" s="525"/>
      <c r="Y100" s="459">
        <f t="shared" si="61"/>
        <v>0</v>
      </c>
      <c r="Z100" s="459"/>
      <c r="AA100" s="459"/>
      <c r="AB100" s="459"/>
      <c r="AC100" s="459">
        <f t="shared" si="62"/>
        <v>0</v>
      </c>
      <c r="AD100" s="459"/>
      <c r="AE100" s="459"/>
      <c r="AF100" s="459"/>
      <c r="AG100" s="513">
        <f t="shared" si="63"/>
        <v>40897</v>
      </c>
      <c r="AH100" s="520"/>
      <c r="AI100" s="520"/>
      <c r="AJ100" s="520"/>
      <c r="AK100" s="520"/>
      <c r="AL100" s="514"/>
      <c r="AM100" s="514"/>
      <c r="AN100" s="513"/>
      <c r="AO100" s="450"/>
      <c r="AP100" s="442"/>
      <c r="AQ100" s="442"/>
      <c r="AR100" s="442"/>
      <c r="AS100" s="442"/>
      <c r="AT100" s="442"/>
      <c r="AU100" s="446"/>
    </row>
    <row r="101" spans="1:47" s="424" customFormat="1">
      <c r="A101" s="432" t="s">
        <v>433</v>
      </c>
      <c r="B101" s="435" t="s">
        <v>437</v>
      </c>
      <c r="C101" s="545">
        <f t="shared" si="60"/>
        <v>0</v>
      </c>
      <c r="D101" s="435"/>
      <c r="E101" s="435"/>
      <c r="F101" s="435"/>
      <c r="G101" s="435"/>
      <c r="H101" s="435"/>
      <c r="I101" s="435"/>
      <c r="J101" s="435"/>
      <c r="K101" s="461">
        <f t="shared" si="64"/>
        <v>4311</v>
      </c>
      <c r="L101" s="461">
        <f t="shared" si="65"/>
        <v>4311</v>
      </c>
      <c r="M101" s="459">
        <f>P101+S101</f>
        <v>4311</v>
      </c>
      <c r="N101" s="459">
        <f>Q101+T101</f>
        <v>0</v>
      </c>
      <c r="O101" s="459">
        <f t="shared" si="35"/>
        <v>4311</v>
      </c>
      <c r="P101" s="459">
        <v>4311</v>
      </c>
      <c r="Q101" s="459"/>
      <c r="R101" s="459">
        <f t="shared" si="31"/>
        <v>0</v>
      </c>
      <c r="S101" s="459"/>
      <c r="T101" s="459"/>
      <c r="U101" s="459">
        <f t="shared" si="36"/>
        <v>0</v>
      </c>
      <c r="V101" s="459"/>
      <c r="W101" s="459"/>
      <c r="X101" s="525"/>
      <c r="Y101" s="459">
        <f t="shared" si="61"/>
        <v>0</v>
      </c>
      <c r="Z101" s="459"/>
      <c r="AA101" s="459"/>
      <c r="AB101" s="459"/>
      <c r="AC101" s="459">
        <f t="shared" si="62"/>
        <v>0</v>
      </c>
      <c r="AD101" s="459"/>
      <c r="AE101" s="459"/>
      <c r="AF101" s="459"/>
      <c r="AG101" s="513">
        <f t="shared" si="63"/>
        <v>4311</v>
      </c>
      <c r="AH101" s="520"/>
      <c r="AI101" s="520"/>
      <c r="AJ101" s="520"/>
      <c r="AK101" s="520"/>
      <c r="AL101" s="514"/>
      <c r="AM101" s="514"/>
      <c r="AN101" s="513"/>
      <c r="AO101" s="450"/>
      <c r="AP101" s="442"/>
      <c r="AQ101" s="442"/>
      <c r="AR101" s="442"/>
      <c r="AS101" s="442"/>
      <c r="AT101" s="442"/>
      <c r="AU101" s="446"/>
    </row>
    <row r="102" spans="1:47">
      <c r="A102" s="431" t="s">
        <v>101</v>
      </c>
      <c r="B102" s="480" t="s">
        <v>402</v>
      </c>
      <c r="C102" s="545">
        <f t="shared" si="60"/>
        <v>0</v>
      </c>
      <c r="D102" s="480"/>
      <c r="E102" s="480"/>
      <c r="F102" s="480"/>
      <c r="G102" s="480"/>
      <c r="H102" s="480"/>
      <c r="I102" s="480"/>
      <c r="J102" s="480"/>
      <c r="K102" s="461">
        <f t="shared" si="64"/>
        <v>2864</v>
      </c>
      <c r="L102" s="461">
        <f t="shared" si="65"/>
        <v>2864</v>
      </c>
      <c r="M102" s="461">
        <f>M103+M104</f>
        <v>0</v>
      </c>
      <c r="N102" s="461">
        <f>N103+N104</f>
        <v>2864</v>
      </c>
      <c r="O102" s="461">
        <f t="shared" si="35"/>
        <v>2864</v>
      </c>
      <c r="P102" s="461">
        <f>SUM(P103:P104)</f>
        <v>0</v>
      </c>
      <c r="Q102" s="461">
        <f>SUM(Q103:Q104)</f>
        <v>2864</v>
      </c>
      <c r="R102" s="461">
        <f t="shared" ref="R102:R168" si="79">S102+T102</f>
        <v>0</v>
      </c>
      <c r="S102" s="461"/>
      <c r="T102" s="461"/>
      <c r="U102" s="459">
        <f t="shared" si="36"/>
        <v>0</v>
      </c>
      <c r="V102" s="461">
        <f>SUM(V103:V104)</f>
        <v>0</v>
      </c>
      <c r="W102" s="461">
        <f>SUM(W103:W104)</f>
        <v>0</v>
      </c>
      <c r="X102" s="526"/>
      <c r="Y102" s="461">
        <f t="shared" si="61"/>
        <v>0</v>
      </c>
      <c r="Z102" s="461"/>
      <c r="AA102" s="461"/>
      <c r="AB102" s="461"/>
      <c r="AC102" s="461">
        <f t="shared" si="62"/>
        <v>0</v>
      </c>
      <c r="AD102" s="461"/>
      <c r="AE102" s="461"/>
      <c r="AF102" s="461"/>
      <c r="AG102" s="513">
        <f t="shared" si="63"/>
        <v>2864</v>
      </c>
      <c r="AH102" s="513"/>
      <c r="AI102" s="513"/>
      <c r="AJ102" s="513"/>
      <c r="AK102" s="513"/>
      <c r="AL102" s="514"/>
      <c r="AM102" s="514"/>
      <c r="AN102" s="513"/>
      <c r="AO102" s="451"/>
      <c r="AQ102" s="440">
        <f>AR102+AS102</f>
        <v>0</v>
      </c>
    </row>
    <row r="103" spans="1:47">
      <c r="A103" s="431" t="s">
        <v>433</v>
      </c>
      <c r="B103" s="435" t="s">
        <v>446</v>
      </c>
      <c r="C103" s="545">
        <f t="shared" si="60"/>
        <v>0</v>
      </c>
      <c r="D103" s="435"/>
      <c r="E103" s="435"/>
      <c r="F103" s="435"/>
      <c r="G103" s="435"/>
      <c r="H103" s="435"/>
      <c r="I103" s="435"/>
      <c r="J103" s="435"/>
      <c r="K103" s="461">
        <f t="shared" si="64"/>
        <v>428</v>
      </c>
      <c r="L103" s="461">
        <f t="shared" si="65"/>
        <v>428</v>
      </c>
      <c r="M103" s="459">
        <f t="shared" ref="M103:N105" si="80">P103+S103</f>
        <v>0</v>
      </c>
      <c r="N103" s="459">
        <f t="shared" si="80"/>
        <v>428</v>
      </c>
      <c r="O103" s="461">
        <f t="shared" si="35"/>
        <v>428</v>
      </c>
      <c r="P103" s="461"/>
      <c r="Q103" s="461">
        <v>428</v>
      </c>
      <c r="R103" s="461">
        <f t="shared" si="79"/>
        <v>0</v>
      </c>
      <c r="S103" s="461"/>
      <c r="T103" s="461"/>
      <c r="U103" s="459">
        <f t="shared" si="36"/>
        <v>0</v>
      </c>
      <c r="V103" s="461"/>
      <c r="W103" s="461"/>
      <c r="X103" s="526"/>
      <c r="Y103" s="461">
        <f t="shared" si="61"/>
        <v>0</v>
      </c>
      <c r="Z103" s="461"/>
      <c r="AA103" s="461"/>
      <c r="AB103" s="461"/>
      <c r="AC103" s="461">
        <f t="shared" si="62"/>
        <v>0</v>
      </c>
      <c r="AD103" s="461"/>
      <c r="AE103" s="461"/>
      <c r="AF103" s="461"/>
      <c r="AG103" s="513">
        <f t="shared" si="63"/>
        <v>428</v>
      </c>
      <c r="AH103" s="513"/>
      <c r="AI103" s="513"/>
      <c r="AJ103" s="513"/>
      <c r="AK103" s="513"/>
      <c r="AL103" s="514"/>
      <c r="AM103" s="514"/>
      <c r="AN103" s="513"/>
      <c r="AO103" s="451"/>
    </row>
    <row r="104" spans="1:47">
      <c r="A104" s="431" t="s">
        <v>433</v>
      </c>
      <c r="B104" s="435" t="s">
        <v>402</v>
      </c>
      <c r="C104" s="545">
        <f t="shared" si="60"/>
        <v>0</v>
      </c>
      <c r="D104" s="435"/>
      <c r="E104" s="435"/>
      <c r="F104" s="435"/>
      <c r="G104" s="435"/>
      <c r="H104" s="435"/>
      <c r="I104" s="435"/>
      <c r="J104" s="435"/>
      <c r="K104" s="461">
        <f t="shared" si="64"/>
        <v>2436</v>
      </c>
      <c r="L104" s="461">
        <f t="shared" si="65"/>
        <v>2436</v>
      </c>
      <c r="M104" s="459">
        <f t="shared" si="80"/>
        <v>0</v>
      </c>
      <c r="N104" s="459">
        <f t="shared" si="80"/>
        <v>2436</v>
      </c>
      <c r="O104" s="461">
        <f t="shared" si="35"/>
        <v>2436</v>
      </c>
      <c r="P104" s="461"/>
      <c r="Q104" s="461">
        <f>2400+50-14</f>
        <v>2436</v>
      </c>
      <c r="R104" s="461">
        <f t="shared" si="79"/>
        <v>0</v>
      </c>
      <c r="S104" s="461"/>
      <c r="T104" s="461"/>
      <c r="U104" s="459">
        <f t="shared" si="36"/>
        <v>0</v>
      </c>
      <c r="V104" s="461"/>
      <c r="W104" s="461"/>
      <c r="X104" s="526"/>
      <c r="Y104" s="461">
        <f t="shared" si="61"/>
        <v>0</v>
      </c>
      <c r="Z104" s="461"/>
      <c r="AA104" s="461"/>
      <c r="AB104" s="461"/>
      <c r="AC104" s="461">
        <f t="shared" si="62"/>
        <v>0</v>
      </c>
      <c r="AD104" s="461"/>
      <c r="AE104" s="461"/>
      <c r="AF104" s="461"/>
      <c r="AG104" s="513">
        <f t="shared" si="63"/>
        <v>2436</v>
      </c>
      <c r="AH104" s="513"/>
      <c r="AI104" s="513"/>
      <c r="AJ104" s="513"/>
      <c r="AK104" s="513"/>
      <c r="AL104" s="514"/>
      <c r="AM104" s="514"/>
      <c r="AN104" s="513"/>
      <c r="AO104" s="451"/>
    </row>
    <row r="105" spans="1:47">
      <c r="A105" s="431"/>
      <c r="B105" s="435" t="s">
        <v>447</v>
      </c>
      <c r="C105" s="545">
        <f t="shared" si="60"/>
        <v>0</v>
      </c>
      <c r="D105" s="435"/>
      <c r="E105" s="435"/>
      <c r="F105" s="435"/>
      <c r="G105" s="435"/>
      <c r="H105" s="435"/>
      <c r="I105" s="435"/>
      <c r="J105" s="435"/>
      <c r="K105" s="461">
        <f t="shared" si="64"/>
        <v>243.60000000000002</v>
      </c>
      <c r="L105" s="461">
        <f t="shared" si="65"/>
        <v>243.60000000000002</v>
      </c>
      <c r="M105" s="459">
        <f t="shared" si="80"/>
        <v>0</v>
      </c>
      <c r="N105" s="459">
        <f t="shared" si="80"/>
        <v>243.60000000000002</v>
      </c>
      <c r="O105" s="461">
        <f t="shared" si="35"/>
        <v>243.60000000000002</v>
      </c>
      <c r="P105" s="461"/>
      <c r="Q105" s="461">
        <f>Q104*10%</f>
        <v>243.60000000000002</v>
      </c>
      <c r="R105" s="461">
        <f t="shared" si="79"/>
        <v>0</v>
      </c>
      <c r="S105" s="461"/>
      <c r="T105" s="461"/>
      <c r="U105" s="459">
        <f t="shared" si="36"/>
        <v>0</v>
      </c>
      <c r="V105" s="461"/>
      <c r="W105" s="461"/>
      <c r="X105" s="526"/>
      <c r="Y105" s="461">
        <f t="shared" si="61"/>
        <v>0</v>
      </c>
      <c r="Z105" s="461"/>
      <c r="AA105" s="461"/>
      <c r="AB105" s="461"/>
      <c r="AC105" s="461">
        <f t="shared" si="62"/>
        <v>0</v>
      </c>
      <c r="AD105" s="461"/>
      <c r="AE105" s="461"/>
      <c r="AF105" s="461"/>
      <c r="AG105" s="513">
        <f t="shared" si="63"/>
        <v>243.60000000000002</v>
      </c>
      <c r="AH105" s="513"/>
      <c r="AI105" s="513"/>
      <c r="AJ105" s="513"/>
      <c r="AK105" s="513"/>
      <c r="AL105" s="514"/>
      <c r="AM105" s="514"/>
      <c r="AN105" s="513"/>
      <c r="AO105" s="451"/>
    </row>
    <row r="106" spans="1:47" s="434" customFormat="1" ht="31.5">
      <c r="A106" s="428">
        <v>8</v>
      </c>
      <c r="B106" s="433" t="s">
        <v>393</v>
      </c>
      <c r="C106" s="545">
        <f t="shared" si="60"/>
        <v>0</v>
      </c>
      <c r="D106" s="433">
        <f>D107+D110</f>
        <v>0</v>
      </c>
      <c r="E106" s="433">
        <f t="shared" ref="E106:J106" si="81">E107+E110</f>
        <v>0</v>
      </c>
      <c r="F106" s="433">
        <f t="shared" si="81"/>
        <v>0</v>
      </c>
      <c r="G106" s="433">
        <f t="shared" ref="G106" si="82">G107+G110</f>
        <v>0</v>
      </c>
      <c r="H106" s="433">
        <f t="shared" ref="H106" si="83">H107+H110</f>
        <v>0</v>
      </c>
      <c r="I106" s="433">
        <f t="shared" si="81"/>
        <v>0</v>
      </c>
      <c r="J106" s="433">
        <f t="shared" si="81"/>
        <v>0</v>
      </c>
      <c r="K106" s="458">
        <f t="shared" si="64"/>
        <v>56983</v>
      </c>
      <c r="L106" s="458">
        <f t="shared" si="65"/>
        <v>29529</v>
      </c>
      <c r="M106" s="458">
        <f>M107+M110</f>
        <v>25125</v>
      </c>
      <c r="N106" s="458">
        <f>N107+N110</f>
        <v>4404</v>
      </c>
      <c r="O106" s="458">
        <f t="shared" si="35"/>
        <v>29529</v>
      </c>
      <c r="P106" s="458">
        <f>P107+P110</f>
        <v>25125</v>
      </c>
      <c r="Q106" s="458">
        <f>Q107+Q110</f>
        <v>4404</v>
      </c>
      <c r="R106" s="458">
        <f t="shared" si="79"/>
        <v>0</v>
      </c>
      <c r="S106" s="458"/>
      <c r="T106" s="458"/>
      <c r="U106" s="458">
        <f t="shared" si="36"/>
        <v>27454</v>
      </c>
      <c r="V106" s="458">
        <f>V107+V110</f>
        <v>27454</v>
      </c>
      <c r="W106" s="458">
        <f>W107+W110</f>
        <v>0</v>
      </c>
      <c r="X106" s="533">
        <f>X107+X110</f>
        <v>0</v>
      </c>
      <c r="Y106" s="458">
        <f t="shared" si="61"/>
        <v>0</v>
      </c>
      <c r="Z106" s="458"/>
      <c r="AA106" s="458"/>
      <c r="AB106" s="458"/>
      <c r="AC106" s="458">
        <f t="shared" si="62"/>
        <v>0</v>
      </c>
      <c r="AD106" s="458"/>
      <c r="AE106" s="458"/>
      <c r="AF106" s="458"/>
      <c r="AG106" s="513">
        <f t="shared" si="63"/>
        <v>56983</v>
      </c>
      <c r="AH106" s="512"/>
      <c r="AI106" s="512"/>
      <c r="AJ106" s="512"/>
      <c r="AK106" s="512"/>
      <c r="AL106" s="514"/>
      <c r="AM106" s="514"/>
      <c r="AN106" s="513"/>
      <c r="AO106" s="449">
        <v>56883</v>
      </c>
      <c r="AP106" s="441">
        <f>K106-AO106</f>
        <v>100</v>
      </c>
      <c r="AQ106" s="441">
        <f>AR106+AS106</f>
        <v>100</v>
      </c>
      <c r="AR106" s="441">
        <f>AP106</f>
        <v>100</v>
      </c>
      <c r="AS106" s="441"/>
      <c r="AT106" s="441"/>
      <c r="AU106" s="445"/>
    </row>
    <row r="107" spans="1:47">
      <c r="A107" s="431" t="s">
        <v>111</v>
      </c>
      <c r="B107" s="436" t="s">
        <v>401</v>
      </c>
      <c r="C107" s="545">
        <f t="shared" si="60"/>
        <v>0</v>
      </c>
      <c r="D107" s="436"/>
      <c r="E107" s="436"/>
      <c r="F107" s="436"/>
      <c r="G107" s="436"/>
      <c r="H107" s="436"/>
      <c r="I107" s="436"/>
      <c r="J107" s="436"/>
      <c r="K107" s="461">
        <f t="shared" si="64"/>
        <v>52579</v>
      </c>
      <c r="L107" s="461">
        <f t="shared" si="65"/>
        <v>25125</v>
      </c>
      <c r="M107" s="461">
        <f>M108+M109</f>
        <v>25125</v>
      </c>
      <c r="N107" s="461">
        <f>N108+N109</f>
        <v>0</v>
      </c>
      <c r="O107" s="461">
        <f t="shared" si="35"/>
        <v>25125</v>
      </c>
      <c r="P107" s="461">
        <f>P108+P109</f>
        <v>25125</v>
      </c>
      <c r="Q107" s="461">
        <f>Q108+Q109</f>
        <v>0</v>
      </c>
      <c r="R107" s="461">
        <f t="shared" si="79"/>
        <v>0</v>
      </c>
      <c r="S107" s="461"/>
      <c r="T107" s="461"/>
      <c r="U107" s="461">
        <f t="shared" si="36"/>
        <v>27454</v>
      </c>
      <c r="V107" s="461">
        <f>V108+V109</f>
        <v>27454</v>
      </c>
      <c r="W107" s="461">
        <f>W108+W109</f>
        <v>0</v>
      </c>
      <c r="X107" s="526"/>
      <c r="Y107" s="461">
        <f t="shared" si="61"/>
        <v>0</v>
      </c>
      <c r="Z107" s="461"/>
      <c r="AA107" s="461"/>
      <c r="AB107" s="461"/>
      <c r="AC107" s="461">
        <f t="shared" si="62"/>
        <v>0</v>
      </c>
      <c r="AD107" s="461"/>
      <c r="AE107" s="461"/>
      <c r="AF107" s="461"/>
      <c r="AG107" s="513">
        <f t="shared" si="63"/>
        <v>52579</v>
      </c>
      <c r="AH107" s="513"/>
      <c r="AI107" s="513"/>
      <c r="AJ107" s="513"/>
      <c r="AK107" s="513"/>
      <c r="AL107" s="514"/>
      <c r="AM107" s="514"/>
      <c r="AN107" s="513"/>
      <c r="AO107" s="451"/>
      <c r="AQ107" s="440">
        <f>AR107+AS107</f>
        <v>0</v>
      </c>
      <c r="AU107" s="444">
        <f>'BTC-Chinh thuc'!M107</f>
        <v>-18696.147964999996</v>
      </c>
    </row>
    <row r="108" spans="1:47" s="424" customFormat="1">
      <c r="A108" s="432" t="s">
        <v>433</v>
      </c>
      <c r="B108" s="435" t="s">
        <v>37</v>
      </c>
      <c r="C108" s="545">
        <f t="shared" si="60"/>
        <v>0</v>
      </c>
      <c r="D108" s="435"/>
      <c r="E108" s="435"/>
      <c r="F108" s="435"/>
      <c r="G108" s="435"/>
      <c r="H108" s="435"/>
      <c r="I108" s="435"/>
      <c r="J108" s="435"/>
      <c r="K108" s="459">
        <f t="shared" si="64"/>
        <v>23102</v>
      </c>
      <c r="L108" s="461">
        <f t="shared" si="65"/>
        <v>1048</v>
      </c>
      <c r="M108" s="459">
        <f>P108+S108</f>
        <v>1048</v>
      </c>
      <c r="N108" s="459">
        <f>Q108+T108</f>
        <v>0</v>
      </c>
      <c r="O108" s="459">
        <f t="shared" si="35"/>
        <v>1048</v>
      </c>
      <c r="P108" s="459">
        <v>1048</v>
      </c>
      <c r="Q108" s="459"/>
      <c r="R108" s="459">
        <f t="shared" si="79"/>
        <v>0</v>
      </c>
      <c r="S108" s="459"/>
      <c r="T108" s="459"/>
      <c r="U108" s="459">
        <f t="shared" si="36"/>
        <v>22054</v>
      </c>
      <c r="V108" s="459">
        <v>22054</v>
      </c>
      <c r="W108" s="459"/>
      <c r="X108" s="525"/>
      <c r="Y108" s="459">
        <f t="shared" si="61"/>
        <v>0</v>
      </c>
      <c r="Z108" s="459"/>
      <c r="AA108" s="459"/>
      <c r="AB108" s="459"/>
      <c r="AC108" s="459">
        <f t="shared" si="62"/>
        <v>0</v>
      </c>
      <c r="AD108" s="459"/>
      <c r="AE108" s="459"/>
      <c r="AF108" s="459"/>
      <c r="AG108" s="513">
        <f t="shared" si="63"/>
        <v>23102</v>
      </c>
      <c r="AH108" s="520"/>
      <c r="AI108" s="520"/>
      <c r="AJ108" s="520"/>
      <c r="AK108" s="520"/>
      <c r="AL108" s="514"/>
      <c r="AM108" s="514"/>
      <c r="AN108" s="513"/>
      <c r="AO108" s="450"/>
      <c r="AP108" s="442"/>
      <c r="AQ108" s="442"/>
      <c r="AR108" s="442"/>
      <c r="AS108" s="442"/>
      <c r="AT108" s="442"/>
      <c r="AU108" s="446"/>
    </row>
    <row r="109" spans="1:47" s="424" customFormat="1">
      <c r="A109" s="432" t="s">
        <v>433</v>
      </c>
      <c r="B109" s="435" t="s">
        <v>437</v>
      </c>
      <c r="C109" s="545">
        <f t="shared" si="60"/>
        <v>0</v>
      </c>
      <c r="D109" s="435"/>
      <c r="E109" s="435"/>
      <c r="F109" s="435"/>
      <c r="G109" s="435"/>
      <c r="H109" s="435"/>
      <c r="I109" s="435"/>
      <c r="J109" s="435"/>
      <c r="K109" s="459">
        <f t="shared" si="64"/>
        <v>29477</v>
      </c>
      <c r="L109" s="461">
        <f t="shared" si="65"/>
        <v>24077</v>
      </c>
      <c r="M109" s="459">
        <f>P109+S109</f>
        <v>24077</v>
      </c>
      <c r="N109" s="459">
        <f>Q109+T109</f>
        <v>0</v>
      </c>
      <c r="O109" s="459">
        <f t="shared" si="35"/>
        <v>24077</v>
      </c>
      <c r="P109" s="459">
        <f>3537+20540</f>
        <v>24077</v>
      </c>
      <c r="Q109" s="459"/>
      <c r="R109" s="459">
        <f t="shared" si="79"/>
        <v>0</v>
      </c>
      <c r="S109" s="459"/>
      <c r="T109" s="459"/>
      <c r="U109" s="459">
        <f t="shared" si="36"/>
        <v>5400</v>
      </c>
      <c r="V109" s="459">
        <v>5400</v>
      </c>
      <c r="W109" s="459"/>
      <c r="X109" s="525"/>
      <c r="Y109" s="459">
        <f t="shared" si="61"/>
        <v>0</v>
      </c>
      <c r="Z109" s="459"/>
      <c r="AA109" s="459"/>
      <c r="AB109" s="459"/>
      <c r="AC109" s="459">
        <f t="shared" si="62"/>
        <v>0</v>
      </c>
      <c r="AD109" s="459"/>
      <c r="AE109" s="459"/>
      <c r="AF109" s="459"/>
      <c r="AG109" s="513">
        <f t="shared" si="63"/>
        <v>29477</v>
      </c>
      <c r="AH109" s="520"/>
      <c r="AI109" s="520"/>
      <c r="AJ109" s="520"/>
      <c r="AK109" s="520"/>
      <c r="AL109" s="514"/>
      <c r="AM109" s="514"/>
      <c r="AN109" s="513"/>
      <c r="AO109" s="450"/>
      <c r="AP109" s="442"/>
      <c r="AQ109" s="442"/>
      <c r="AR109" s="442"/>
      <c r="AS109" s="442"/>
      <c r="AT109" s="442"/>
      <c r="AU109" s="446"/>
    </row>
    <row r="110" spans="1:47">
      <c r="A110" s="431" t="s">
        <v>112</v>
      </c>
      <c r="B110" s="480" t="s">
        <v>402</v>
      </c>
      <c r="C110" s="545">
        <f t="shared" si="60"/>
        <v>0</v>
      </c>
      <c r="D110" s="480"/>
      <c r="E110" s="480"/>
      <c r="F110" s="480"/>
      <c r="G110" s="480"/>
      <c r="H110" s="480"/>
      <c r="I110" s="480"/>
      <c r="J110" s="480"/>
      <c r="K110" s="461">
        <f t="shared" si="64"/>
        <v>4404</v>
      </c>
      <c r="L110" s="461">
        <f t="shared" si="65"/>
        <v>4404</v>
      </c>
      <c r="M110" s="461">
        <f>M111+M112</f>
        <v>0</v>
      </c>
      <c r="N110" s="461">
        <f>N111+N112</f>
        <v>4404</v>
      </c>
      <c r="O110" s="461">
        <f t="shared" si="35"/>
        <v>4404</v>
      </c>
      <c r="P110" s="461">
        <f>SUM(P111:P112)</f>
        <v>0</v>
      </c>
      <c r="Q110" s="461">
        <f>SUM(Q111:Q112)</f>
        <v>4404</v>
      </c>
      <c r="R110" s="461">
        <f t="shared" si="79"/>
        <v>0</v>
      </c>
      <c r="S110" s="461"/>
      <c r="T110" s="461"/>
      <c r="U110" s="461">
        <f t="shared" si="36"/>
        <v>0</v>
      </c>
      <c r="V110" s="461">
        <f>SUM(V111:V112)</f>
        <v>0</v>
      </c>
      <c r="W110" s="461">
        <f>SUM(W111:W112)</f>
        <v>0</v>
      </c>
      <c r="X110" s="526">
        <f>'BTC-Chinh thuc'!L107</f>
        <v>0</v>
      </c>
      <c r="Y110" s="461">
        <f t="shared" si="61"/>
        <v>0</v>
      </c>
      <c r="Z110" s="461"/>
      <c r="AA110" s="461"/>
      <c r="AB110" s="461"/>
      <c r="AC110" s="461">
        <f t="shared" si="62"/>
        <v>0</v>
      </c>
      <c r="AD110" s="461"/>
      <c r="AE110" s="461"/>
      <c r="AF110" s="461"/>
      <c r="AG110" s="513">
        <f t="shared" si="63"/>
        <v>4404</v>
      </c>
      <c r="AH110" s="513"/>
      <c r="AI110" s="513"/>
      <c r="AJ110" s="513"/>
      <c r="AK110" s="513"/>
      <c r="AL110" s="514"/>
      <c r="AM110" s="514"/>
      <c r="AN110" s="513"/>
      <c r="AO110" s="451"/>
      <c r="AQ110" s="440">
        <f>AR110+AS110</f>
        <v>0</v>
      </c>
    </row>
    <row r="111" spans="1:47">
      <c r="A111" s="431" t="s">
        <v>257</v>
      </c>
      <c r="B111" s="435" t="s">
        <v>446</v>
      </c>
      <c r="C111" s="545">
        <f t="shared" si="60"/>
        <v>0</v>
      </c>
      <c r="D111" s="435"/>
      <c r="E111" s="435"/>
      <c r="F111" s="435"/>
      <c r="G111" s="435"/>
      <c r="H111" s="435"/>
      <c r="I111" s="435"/>
      <c r="J111" s="435"/>
      <c r="K111" s="461">
        <f t="shared" si="64"/>
        <v>444</v>
      </c>
      <c r="L111" s="461">
        <f t="shared" si="65"/>
        <v>444</v>
      </c>
      <c r="M111" s="459">
        <f t="shared" ref="M111:N113" si="84">P111+S111</f>
        <v>0</v>
      </c>
      <c r="N111" s="459">
        <f t="shared" si="84"/>
        <v>444</v>
      </c>
      <c r="O111" s="461">
        <f t="shared" si="35"/>
        <v>444</v>
      </c>
      <c r="P111" s="461"/>
      <c r="Q111" s="461">
        <v>444</v>
      </c>
      <c r="R111" s="461">
        <f t="shared" si="79"/>
        <v>0</v>
      </c>
      <c r="S111" s="461"/>
      <c r="T111" s="461"/>
      <c r="U111" s="461">
        <f t="shared" si="36"/>
        <v>0</v>
      </c>
      <c r="V111" s="461"/>
      <c r="W111" s="461"/>
      <c r="X111" s="526"/>
      <c r="Y111" s="461">
        <f t="shared" si="61"/>
        <v>0</v>
      </c>
      <c r="Z111" s="461"/>
      <c r="AA111" s="461"/>
      <c r="AB111" s="461"/>
      <c r="AC111" s="461">
        <f t="shared" si="62"/>
        <v>0</v>
      </c>
      <c r="AD111" s="461"/>
      <c r="AE111" s="461"/>
      <c r="AF111" s="461"/>
      <c r="AG111" s="513">
        <f t="shared" si="63"/>
        <v>444</v>
      </c>
      <c r="AH111" s="513"/>
      <c r="AI111" s="513"/>
      <c r="AJ111" s="513"/>
      <c r="AK111" s="513"/>
      <c r="AL111" s="514"/>
      <c r="AM111" s="514"/>
      <c r="AN111" s="513"/>
      <c r="AO111" s="451"/>
    </row>
    <row r="112" spans="1:47">
      <c r="A112" s="431" t="s">
        <v>433</v>
      </c>
      <c r="B112" s="435" t="s">
        <v>402</v>
      </c>
      <c r="C112" s="545">
        <f t="shared" si="60"/>
        <v>0</v>
      </c>
      <c r="D112" s="435"/>
      <c r="E112" s="435"/>
      <c r="F112" s="435"/>
      <c r="G112" s="435"/>
      <c r="H112" s="435"/>
      <c r="I112" s="435"/>
      <c r="J112" s="435"/>
      <c r="K112" s="461">
        <f t="shared" si="64"/>
        <v>3960</v>
      </c>
      <c r="L112" s="461">
        <f t="shared" si="65"/>
        <v>3960</v>
      </c>
      <c r="M112" s="459">
        <f t="shared" si="84"/>
        <v>0</v>
      </c>
      <c r="N112" s="459">
        <f t="shared" si="84"/>
        <v>3960</v>
      </c>
      <c r="O112" s="461">
        <f t="shared" si="35"/>
        <v>3960</v>
      </c>
      <c r="P112" s="461"/>
      <c r="Q112" s="461">
        <f>4000-40</f>
        <v>3960</v>
      </c>
      <c r="R112" s="461">
        <f t="shared" si="79"/>
        <v>0</v>
      </c>
      <c r="S112" s="461"/>
      <c r="T112" s="461"/>
      <c r="U112" s="461">
        <f t="shared" si="36"/>
        <v>0</v>
      </c>
      <c r="V112" s="461"/>
      <c r="W112" s="461"/>
      <c r="X112" s="526"/>
      <c r="Y112" s="461">
        <f t="shared" si="61"/>
        <v>0</v>
      </c>
      <c r="Z112" s="461"/>
      <c r="AA112" s="461"/>
      <c r="AB112" s="461"/>
      <c r="AC112" s="461">
        <f t="shared" si="62"/>
        <v>0</v>
      </c>
      <c r="AD112" s="461"/>
      <c r="AE112" s="461"/>
      <c r="AF112" s="461"/>
      <c r="AG112" s="513">
        <f t="shared" si="63"/>
        <v>3960</v>
      </c>
      <c r="AH112" s="513"/>
      <c r="AI112" s="513"/>
      <c r="AJ112" s="513"/>
      <c r="AK112" s="513"/>
      <c r="AL112" s="514"/>
      <c r="AM112" s="514"/>
      <c r="AN112" s="513"/>
      <c r="AO112" s="451"/>
    </row>
    <row r="113" spans="1:47">
      <c r="A113" s="431"/>
      <c r="B113" s="435" t="s">
        <v>447</v>
      </c>
      <c r="C113" s="545">
        <f t="shared" si="60"/>
        <v>0</v>
      </c>
      <c r="D113" s="435"/>
      <c r="E113" s="435"/>
      <c r="F113" s="435"/>
      <c r="G113" s="435"/>
      <c r="H113" s="435"/>
      <c r="I113" s="435"/>
      <c r="J113" s="435"/>
      <c r="K113" s="461">
        <f t="shared" si="64"/>
        <v>396</v>
      </c>
      <c r="L113" s="461">
        <f t="shared" si="65"/>
        <v>396</v>
      </c>
      <c r="M113" s="459">
        <f t="shared" si="84"/>
        <v>0</v>
      </c>
      <c r="N113" s="459">
        <f t="shared" si="84"/>
        <v>396</v>
      </c>
      <c r="O113" s="461">
        <f t="shared" si="35"/>
        <v>396</v>
      </c>
      <c r="P113" s="461"/>
      <c r="Q113" s="461">
        <f>Q112*10%</f>
        <v>396</v>
      </c>
      <c r="R113" s="461">
        <f t="shared" si="79"/>
        <v>0</v>
      </c>
      <c r="S113" s="461"/>
      <c r="T113" s="461"/>
      <c r="U113" s="461">
        <f t="shared" si="36"/>
        <v>0</v>
      </c>
      <c r="V113" s="461"/>
      <c r="W113" s="461"/>
      <c r="X113" s="526"/>
      <c r="Y113" s="461">
        <f t="shared" si="61"/>
        <v>0</v>
      </c>
      <c r="Z113" s="461"/>
      <c r="AA113" s="461"/>
      <c r="AB113" s="461"/>
      <c r="AC113" s="461">
        <f t="shared" si="62"/>
        <v>0</v>
      </c>
      <c r="AD113" s="461"/>
      <c r="AE113" s="461"/>
      <c r="AF113" s="461"/>
      <c r="AG113" s="513">
        <f t="shared" si="63"/>
        <v>396</v>
      </c>
      <c r="AH113" s="513"/>
      <c r="AI113" s="513"/>
      <c r="AJ113" s="513"/>
      <c r="AK113" s="513"/>
      <c r="AL113" s="514"/>
      <c r="AM113" s="514"/>
      <c r="AN113" s="513"/>
      <c r="AO113" s="451"/>
    </row>
    <row r="114" spans="1:47" s="434" customFormat="1">
      <c r="A114" s="428">
        <v>9</v>
      </c>
      <c r="B114" s="433" t="s">
        <v>394</v>
      </c>
      <c r="C114" s="545">
        <f t="shared" si="60"/>
        <v>0</v>
      </c>
      <c r="D114" s="433">
        <f>D115+D124+D118</f>
        <v>0</v>
      </c>
      <c r="E114" s="433">
        <f t="shared" ref="E114:J114" si="85">E115+E124+E118</f>
        <v>0</v>
      </c>
      <c r="F114" s="433">
        <f t="shared" si="85"/>
        <v>0</v>
      </c>
      <c r="G114" s="433">
        <f t="shared" ref="G114" si="86">G115+G124+G118</f>
        <v>0</v>
      </c>
      <c r="H114" s="433">
        <f t="shared" ref="H114" si="87">H115+H124+H118</f>
        <v>0</v>
      </c>
      <c r="I114" s="433">
        <f t="shared" si="85"/>
        <v>0</v>
      </c>
      <c r="J114" s="433">
        <f t="shared" si="85"/>
        <v>0</v>
      </c>
      <c r="K114" s="458">
        <f t="shared" ref="K114:K119" si="88">L114+U114+X114</f>
        <v>297270</v>
      </c>
      <c r="L114" s="458">
        <f>M114+N114</f>
        <v>-299268</v>
      </c>
      <c r="M114" s="458">
        <f>M115+M118+M124</f>
        <v>51312</v>
      </c>
      <c r="N114" s="458">
        <f>N115+N118+N124</f>
        <v>-350580</v>
      </c>
      <c r="O114" s="458">
        <f>P114+Q114</f>
        <v>-299268</v>
      </c>
      <c r="P114" s="458">
        <f>P115+P118+P124</f>
        <v>51312</v>
      </c>
      <c r="Q114" s="458">
        <f>Q115+Q118+Q124</f>
        <v>-350580</v>
      </c>
      <c r="R114" s="458">
        <f>S114+T114</f>
        <v>0</v>
      </c>
      <c r="S114" s="458">
        <f>S115+S118+S124</f>
        <v>0</v>
      </c>
      <c r="T114" s="458">
        <f>T115+T118+T124</f>
        <v>0</v>
      </c>
      <c r="U114" s="458">
        <f>V114+W114</f>
        <v>596538</v>
      </c>
      <c r="V114" s="458">
        <f>V115+V118+V124</f>
        <v>596538</v>
      </c>
      <c r="W114" s="458">
        <f>W115+W118+W124</f>
        <v>0</v>
      </c>
      <c r="X114" s="522">
        <f>X115+X119+X120+X121+X122+X123+X124</f>
        <v>0</v>
      </c>
      <c r="Y114" s="458">
        <f t="shared" si="61"/>
        <v>0</v>
      </c>
      <c r="Z114" s="458">
        <f>Z115+Z118+Z124</f>
        <v>0</v>
      </c>
      <c r="AA114" s="458">
        <f>AA115+AA118+AA124</f>
        <v>0</v>
      </c>
      <c r="AB114" s="458">
        <f>AB115+AB118+AB124</f>
        <v>0</v>
      </c>
      <c r="AC114" s="458">
        <f t="shared" si="62"/>
        <v>0</v>
      </c>
      <c r="AD114" s="458">
        <f>AD115+AD118+AD124</f>
        <v>0</v>
      </c>
      <c r="AE114" s="458">
        <f>AE115+AE118+AE124</f>
        <v>0</v>
      </c>
      <c r="AF114" s="458">
        <f>AF115+AF118+AF124</f>
        <v>0</v>
      </c>
      <c r="AG114" s="513">
        <f t="shared" si="63"/>
        <v>297270</v>
      </c>
      <c r="AH114" s="512"/>
      <c r="AI114" s="512"/>
      <c r="AJ114" s="512"/>
      <c r="AK114" s="512"/>
      <c r="AL114" s="514"/>
      <c r="AM114" s="514"/>
      <c r="AN114" s="513"/>
      <c r="AO114" s="449">
        <v>917743</v>
      </c>
      <c r="AP114" s="441">
        <f>K114-AO114</f>
        <v>-620473</v>
      </c>
      <c r="AQ114" s="441">
        <f>AR114+AS114</f>
        <v>0</v>
      </c>
      <c r="AR114" s="441"/>
      <c r="AS114" s="441"/>
      <c r="AT114" s="441"/>
      <c r="AU114" s="445"/>
    </row>
    <row r="115" spans="1:47">
      <c r="A115" s="431" t="s">
        <v>115</v>
      </c>
      <c r="B115" s="436" t="s">
        <v>401</v>
      </c>
      <c r="C115" s="545">
        <f t="shared" si="60"/>
        <v>0</v>
      </c>
      <c r="D115" s="436"/>
      <c r="E115" s="436"/>
      <c r="F115" s="436"/>
      <c r="G115" s="436"/>
      <c r="H115" s="436"/>
      <c r="I115" s="436"/>
      <c r="J115" s="436"/>
      <c r="K115" s="461">
        <f t="shared" si="88"/>
        <v>65953</v>
      </c>
      <c r="L115" s="461">
        <f t="shared" si="65"/>
        <v>39872</v>
      </c>
      <c r="M115" s="461">
        <f>M116+M117</f>
        <v>39872</v>
      </c>
      <c r="N115" s="461">
        <f>N116+N117</f>
        <v>0</v>
      </c>
      <c r="O115" s="461">
        <f t="shared" si="35"/>
        <v>39872</v>
      </c>
      <c r="P115" s="461">
        <f>P116+P117</f>
        <v>39872</v>
      </c>
      <c r="Q115" s="461">
        <f>Q116+Q117</f>
        <v>0</v>
      </c>
      <c r="R115" s="461">
        <f t="shared" si="79"/>
        <v>0</v>
      </c>
      <c r="S115" s="461">
        <f>S116+S117</f>
        <v>0</v>
      </c>
      <c r="T115" s="461">
        <f>T116+T117</f>
        <v>0</v>
      </c>
      <c r="U115" s="461">
        <f t="shared" si="36"/>
        <v>26081</v>
      </c>
      <c r="V115" s="461">
        <f>V116+V117</f>
        <v>26081</v>
      </c>
      <c r="W115" s="461">
        <f>W116+W117</f>
        <v>0</v>
      </c>
      <c r="X115" s="523">
        <f>'BTC-Chinh thuc'!L115</f>
        <v>0</v>
      </c>
      <c r="Y115" s="461">
        <f t="shared" si="61"/>
        <v>0</v>
      </c>
      <c r="Z115" s="461">
        <f>Z116+Z117</f>
        <v>0</v>
      </c>
      <c r="AA115" s="461">
        <f>AA116+AA117</f>
        <v>0</v>
      </c>
      <c r="AB115" s="461">
        <f>AB116+AB117</f>
        <v>0</v>
      </c>
      <c r="AC115" s="461">
        <f t="shared" si="62"/>
        <v>0</v>
      </c>
      <c r="AD115" s="461">
        <f>AD116+AD117</f>
        <v>0</v>
      </c>
      <c r="AE115" s="461">
        <f>AE116+AE117</f>
        <v>0</v>
      </c>
      <c r="AF115" s="461">
        <f>AF116+AF117</f>
        <v>0</v>
      </c>
      <c r="AG115" s="513">
        <f t="shared" si="63"/>
        <v>65953</v>
      </c>
      <c r="AH115" s="513"/>
      <c r="AI115" s="513"/>
      <c r="AJ115" s="513"/>
      <c r="AK115" s="513"/>
      <c r="AL115" s="514"/>
      <c r="AM115" s="514"/>
      <c r="AN115" s="513"/>
      <c r="AO115" s="451"/>
      <c r="AQ115" s="440">
        <f>AR115+AS115</f>
        <v>0</v>
      </c>
      <c r="AU115" s="444">
        <f>'BTC-Chinh thuc'!H115-'BTC-Chinh thuc'!I115</f>
        <v>9525.4628049999883</v>
      </c>
    </row>
    <row r="116" spans="1:47" s="424" customFormat="1">
      <c r="A116" s="432" t="s">
        <v>433</v>
      </c>
      <c r="B116" s="435" t="s">
        <v>37</v>
      </c>
      <c r="C116" s="545">
        <f t="shared" si="60"/>
        <v>0</v>
      </c>
      <c r="D116" s="435"/>
      <c r="E116" s="435"/>
      <c r="F116" s="435"/>
      <c r="G116" s="435"/>
      <c r="H116" s="435"/>
      <c r="I116" s="435"/>
      <c r="J116" s="435"/>
      <c r="K116" s="459">
        <f t="shared" si="88"/>
        <v>48555</v>
      </c>
      <c r="L116" s="461">
        <f t="shared" si="65"/>
        <v>22474</v>
      </c>
      <c r="M116" s="459">
        <f>P116+S116</f>
        <v>22474</v>
      </c>
      <c r="N116" s="459">
        <f>Q116+T116</f>
        <v>0</v>
      </c>
      <c r="O116" s="459">
        <f t="shared" si="35"/>
        <v>22474</v>
      </c>
      <c r="P116" s="459">
        <v>22474</v>
      </c>
      <c r="Q116" s="461"/>
      <c r="R116" s="461">
        <f t="shared" si="79"/>
        <v>0</v>
      </c>
      <c r="S116" s="461"/>
      <c r="T116" s="461"/>
      <c r="U116" s="459">
        <f t="shared" si="36"/>
        <v>26081</v>
      </c>
      <c r="V116" s="459">
        <f>120483-94402</f>
        <v>26081</v>
      </c>
      <c r="W116" s="459"/>
      <c r="X116" s="528"/>
      <c r="Y116" s="461">
        <f t="shared" si="61"/>
        <v>0</v>
      </c>
      <c r="Z116" s="461"/>
      <c r="AA116" s="461"/>
      <c r="AB116" s="461"/>
      <c r="AC116" s="461">
        <f t="shared" si="62"/>
        <v>0</v>
      </c>
      <c r="AD116" s="461"/>
      <c r="AE116" s="461"/>
      <c r="AF116" s="461"/>
      <c r="AG116" s="513">
        <f t="shared" si="63"/>
        <v>48555</v>
      </c>
      <c r="AH116" s="513"/>
      <c r="AI116" s="513"/>
      <c r="AJ116" s="513"/>
      <c r="AK116" s="513"/>
      <c r="AL116" s="514"/>
      <c r="AM116" s="514"/>
      <c r="AN116" s="513"/>
      <c r="AO116" s="450"/>
      <c r="AP116" s="442"/>
      <c r="AQ116" s="442"/>
      <c r="AR116" s="442"/>
      <c r="AS116" s="442"/>
      <c r="AT116" s="442"/>
      <c r="AU116" s="446"/>
    </row>
    <row r="117" spans="1:47" s="424" customFormat="1">
      <c r="A117" s="432" t="s">
        <v>433</v>
      </c>
      <c r="B117" s="435" t="s">
        <v>437</v>
      </c>
      <c r="C117" s="545">
        <f t="shared" si="60"/>
        <v>0</v>
      </c>
      <c r="D117" s="435"/>
      <c r="E117" s="435"/>
      <c r="F117" s="435"/>
      <c r="G117" s="435"/>
      <c r="H117" s="435"/>
      <c r="I117" s="435"/>
      <c r="J117" s="435"/>
      <c r="K117" s="459">
        <f t="shared" si="88"/>
        <v>17398</v>
      </c>
      <c r="L117" s="461">
        <f t="shared" si="65"/>
        <v>17398</v>
      </c>
      <c r="M117" s="459">
        <f>P117+S117</f>
        <v>17398</v>
      </c>
      <c r="N117" s="459">
        <f>Q117+T117</f>
        <v>0</v>
      </c>
      <c r="O117" s="459">
        <f t="shared" si="35"/>
        <v>17398</v>
      </c>
      <c r="P117" s="459">
        <f>2648+14750</f>
        <v>17398</v>
      </c>
      <c r="Q117" s="461"/>
      <c r="R117" s="461">
        <f t="shared" si="79"/>
        <v>0</v>
      </c>
      <c r="S117" s="461"/>
      <c r="T117" s="461"/>
      <c r="U117" s="459">
        <f t="shared" si="36"/>
        <v>0</v>
      </c>
      <c r="V117" s="459"/>
      <c r="W117" s="459"/>
      <c r="X117" s="528"/>
      <c r="Y117" s="461">
        <f t="shared" si="61"/>
        <v>0</v>
      </c>
      <c r="Z117" s="461"/>
      <c r="AA117" s="461"/>
      <c r="AB117" s="461"/>
      <c r="AC117" s="461">
        <f t="shared" si="62"/>
        <v>0</v>
      </c>
      <c r="AD117" s="461"/>
      <c r="AE117" s="461"/>
      <c r="AF117" s="461"/>
      <c r="AG117" s="513">
        <f t="shared" si="63"/>
        <v>17398</v>
      </c>
      <c r="AH117" s="513"/>
      <c r="AI117" s="513"/>
      <c r="AJ117" s="513"/>
      <c r="AK117" s="513"/>
      <c r="AL117" s="514"/>
      <c r="AM117" s="514"/>
      <c r="AN117" s="513"/>
      <c r="AO117" s="450"/>
      <c r="AP117" s="442"/>
      <c r="AQ117" s="442"/>
      <c r="AR117" s="442"/>
      <c r="AS117" s="442"/>
      <c r="AT117" s="442"/>
      <c r="AU117" s="446"/>
    </row>
    <row r="118" spans="1:47">
      <c r="A118" s="431" t="s">
        <v>116</v>
      </c>
      <c r="B118" s="436" t="s">
        <v>445</v>
      </c>
      <c r="C118" s="545">
        <f t="shared" si="60"/>
        <v>0</v>
      </c>
      <c r="D118" s="436"/>
      <c r="E118" s="436"/>
      <c r="F118" s="436"/>
      <c r="G118" s="436"/>
      <c r="H118" s="436"/>
      <c r="I118" s="436"/>
      <c r="J118" s="436"/>
      <c r="K118" s="459">
        <f t="shared" si="88"/>
        <v>0</v>
      </c>
      <c r="L118" s="461">
        <f>M118+N118</f>
        <v>-570457</v>
      </c>
      <c r="M118" s="459">
        <f>M119+M120+M121+M122+M123</f>
        <v>11440</v>
      </c>
      <c r="N118" s="459">
        <f>N119+N120+N121+N122+N123</f>
        <v>-581897</v>
      </c>
      <c r="O118" s="461">
        <f>P118+Q118</f>
        <v>-570457</v>
      </c>
      <c r="P118" s="461">
        <f>SUM(P119:P123)</f>
        <v>11440</v>
      </c>
      <c r="Q118" s="461">
        <f>SUM(Q119:Q123)</f>
        <v>-581897</v>
      </c>
      <c r="R118" s="461">
        <f>S118+T118</f>
        <v>0</v>
      </c>
      <c r="S118" s="461"/>
      <c r="T118" s="461">
        <f>SUM(T119:T123)</f>
        <v>0</v>
      </c>
      <c r="U118" s="461">
        <f>V118+W118</f>
        <v>570457</v>
      </c>
      <c r="V118" s="461">
        <f>SUM(V119:V123)</f>
        <v>570457</v>
      </c>
      <c r="W118" s="461">
        <f>SUM(W119:W123)</f>
        <v>0</v>
      </c>
      <c r="X118" s="523">
        <f>SUM(X119:X123)</f>
        <v>0</v>
      </c>
      <c r="Y118" s="461">
        <f t="shared" si="61"/>
        <v>0</v>
      </c>
      <c r="Z118" s="461"/>
      <c r="AA118" s="461"/>
      <c r="AB118" s="461">
        <f>SUM(AB119:AB123)</f>
        <v>0</v>
      </c>
      <c r="AC118" s="461">
        <f t="shared" si="62"/>
        <v>0</v>
      </c>
      <c r="AD118" s="461"/>
      <c r="AE118" s="461"/>
      <c r="AF118" s="461">
        <f>SUM(AF119:AF123)</f>
        <v>0</v>
      </c>
      <c r="AG118" s="513">
        <f t="shared" si="63"/>
        <v>0</v>
      </c>
      <c r="AH118" s="513"/>
      <c r="AI118" s="513"/>
      <c r="AJ118" s="513"/>
      <c r="AK118" s="513"/>
      <c r="AL118" s="514"/>
      <c r="AM118" s="514"/>
      <c r="AN118" s="513"/>
      <c r="AO118" s="451"/>
    </row>
    <row r="119" spans="1:47" s="424" customFormat="1" ht="31.5">
      <c r="A119" s="432" t="s">
        <v>433</v>
      </c>
      <c r="B119" s="467" t="s">
        <v>102</v>
      </c>
      <c r="C119" s="545">
        <f t="shared" si="60"/>
        <v>0</v>
      </c>
      <c r="D119" s="467"/>
      <c r="E119" s="467"/>
      <c r="F119" s="467"/>
      <c r="G119" s="467"/>
      <c r="H119" s="467"/>
      <c r="I119" s="467"/>
      <c r="J119" s="467"/>
      <c r="K119" s="459">
        <f t="shared" si="88"/>
        <v>0</v>
      </c>
      <c r="L119" s="461">
        <f>M119+N119</f>
        <v>-70670</v>
      </c>
      <c r="M119" s="459">
        <f>P119+S119</f>
        <v>0</v>
      </c>
      <c r="N119" s="459">
        <f>Q119+T119</f>
        <v>-70670</v>
      </c>
      <c r="O119" s="459">
        <f>P119+Q119</f>
        <v>-70670</v>
      </c>
      <c r="P119" s="459"/>
      <c r="Q119" s="459">
        <f>I119-P119-U119</f>
        <v>-70670</v>
      </c>
      <c r="R119" s="459">
        <f>S119+T119</f>
        <v>0</v>
      </c>
      <c r="S119" s="459"/>
      <c r="T119" s="459"/>
      <c r="U119" s="459">
        <f>V119+W119</f>
        <v>70670</v>
      </c>
      <c r="V119" s="459">
        <v>70670</v>
      </c>
      <c r="W119" s="459"/>
      <c r="X119" s="528">
        <f>'BTC-Chinh thuc'!L120</f>
        <v>0</v>
      </c>
      <c r="Y119" s="459">
        <f t="shared" si="61"/>
        <v>0</v>
      </c>
      <c r="Z119" s="459"/>
      <c r="AA119" s="459"/>
      <c r="AB119" s="459"/>
      <c r="AC119" s="459">
        <f t="shared" si="62"/>
        <v>0</v>
      </c>
      <c r="AD119" s="459"/>
      <c r="AE119" s="459"/>
      <c r="AF119" s="459"/>
      <c r="AG119" s="513">
        <f t="shared" si="63"/>
        <v>0</v>
      </c>
      <c r="AH119" s="520"/>
      <c r="AI119" s="520"/>
      <c r="AJ119" s="520"/>
      <c r="AK119" s="520"/>
      <c r="AL119" s="514"/>
      <c r="AM119" s="514"/>
      <c r="AN119" s="513"/>
      <c r="AO119" s="450"/>
      <c r="AP119" s="442">
        <f>'BTC-Chinh thuc'!H120</f>
        <v>49881</v>
      </c>
      <c r="AQ119" s="442">
        <f>AR119+AS119</f>
        <v>0</v>
      </c>
      <c r="AR119" s="442"/>
      <c r="AS119" s="442"/>
      <c r="AT119" s="442"/>
      <c r="AU119" s="446">
        <f>'BTC-Chinh thuc'!H120-'BTC-Chinh thuc'!I120</f>
        <v>-20789</v>
      </c>
    </row>
    <row r="120" spans="1:47" s="424" customFormat="1" ht="47.25">
      <c r="A120" s="432" t="s">
        <v>433</v>
      </c>
      <c r="B120" s="466" t="s">
        <v>105</v>
      </c>
      <c r="C120" s="545">
        <f t="shared" si="60"/>
        <v>0</v>
      </c>
      <c r="D120" s="466"/>
      <c r="E120" s="466"/>
      <c r="F120" s="466"/>
      <c r="G120" s="466"/>
      <c r="H120" s="466"/>
      <c r="I120" s="466"/>
      <c r="J120" s="466"/>
      <c r="K120" s="459">
        <f t="shared" si="64"/>
        <v>0</v>
      </c>
      <c r="L120" s="461">
        <f t="shared" si="65"/>
        <v>-61237</v>
      </c>
      <c r="M120" s="459">
        <f t="shared" ref="M120:N123" si="89">P120+S120</f>
        <v>0</v>
      </c>
      <c r="N120" s="459">
        <f t="shared" si="89"/>
        <v>-61237</v>
      </c>
      <c r="O120" s="459">
        <f t="shared" si="35"/>
        <v>-61237</v>
      </c>
      <c r="P120" s="459"/>
      <c r="Q120" s="459">
        <f>I120-P120-U120</f>
        <v>-61237</v>
      </c>
      <c r="R120" s="459">
        <f t="shared" si="79"/>
        <v>0</v>
      </c>
      <c r="S120" s="459"/>
      <c r="T120" s="459"/>
      <c r="U120" s="459">
        <f t="shared" si="36"/>
        <v>61237</v>
      </c>
      <c r="V120" s="459">
        <v>61237</v>
      </c>
      <c r="W120" s="459"/>
      <c r="X120" s="528">
        <f>'BTC-Chinh thuc'!L121</f>
        <v>0</v>
      </c>
      <c r="Y120" s="459">
        <f t="shared" si="61"/>
        <v>0</v>
      </c>
      <c r="Z120" s="459"/>
      <c r="AA120" s="459"/>
      <c r="AB120" s="459"/>
      <c r="AC120" s="459">
        <f t="shared" si="62"/>
        <v>0</v>
      </c>
      <c r="AD120" s="459"/>
      <c r="AE120" s="459"/>
      <c r="AF120" s="459"/>
      <c r="AG120" s="513">
        <f t="shared" si="63"/>
        <v>0</v>
      </c>
      <c r="AH120" s="520"/>
      <c r="AI120" s="520"/>
      <c r="AJ120" s="520"/>
      <c r="AK120" s="520"/>
      <c r="AL120" s="514"/>
      <c r="AM120" s="514"/>
      <c r="AN120" s="513"/>
      <c r="AO120" s="450"/>
      <c r="AP120" s="442">
        <f>'BTC-Chinh thuc'!H121</f>
        <v>90698.980800000005</v>
      </c>
      <c r="AQ120" s="442">
        <f>AR120+AS120</f>
        <v>0</v>
      </c>
      <c r="AR120" s="442"/>
      <c r="AS120" s="442"/>
      <c r="AT120" s="442"/>
      <c r="AU120" s="446">
        <f>'BTC-Chinh thuc'!H121-'BTC-Chinh thuc'!I121</f>
        <v>0</v>
      </c>
    </row>
    <row r="121" spans="1:47" s="424" customFormat="1" ht="47.25">
      <c r="A121" s="432" t="s">
        <v>433</v>
      </c>
      <c r="B121" s="468" t="s">
        <v>222</v>
      </c>
      <c r="C121" s="545">
        <f t="shared" si="60"/>
        <v>0</v>
      </c>
      <c r="D121" s="468"/>
      <c r="E121" s="468"/>
      <c r="F121" s="468"/>
      <c r="G121" s="468"/>
      <c r="H121" s="468"/>
      <c r="I121" s="468"/>
      <c r="J121" s="468"/>
      <c r="K121" s="459">
        <f>L121+U121+X121</f>
        <v>0</v>
      </c>
      <c r="L121" s="461">
        <f t="shared" si="65"/>
        <v>-413006</v>
      </c>
      <c r="M121" s="459">
        <f t="shared" si="89"/>
        <v>11440</v>
      </c>
      <c r="N121" s="459">
        <f t="shared" si="89"/>
        <v>-424446</v>
      </c>
      <c r="O121" s="459">
        <f t="shared" si="35"/>
        <v>-413006</v>
      </c>
      <c r="P121" s="459">
        <f>11440</f>
        <v>11440</v>
      </c>
      <c r="Q121" s="459">
        <f>I121-P121-U121</f>
        <v>-424446</v>
      </c>
      <c r="R121" s="459">
        <f t="shared" si="79"/>
        <v>0</v>
      </c>
      <c r="S121" s="459"/>
      <c r="T121" s="459"/>
      <c r="U121" s="459">
        <f t="shared" si="36"/>
        <v>413006</v>
      </c>
      <c r="V121" s="459">
        <f>318604+94402</f>
        <v>413006</v>
      </c>
      <c r="W121" s="459"/>
      <c r="X121" s="528">
        <f>'BTC-Chinh thuc'!L125</f>
        <v>0</v>
      </c>
      <c r="Y121" s="459">
        <f t="shared" si="61"/>
        <v>0</v>
      </c>
      <c r="Z121" s="459"/>
      <c r="AA121" s="459"/>
      <c r="AB121" s="459"/>
      <c r="AC121" s="459">
        <f t="shared" si="62"/>
        <v>0</v>
      </c>
      <c r="AD121" s="459"/>
      <c r="AE121" s="459"/>
      <c r="AF121" s="459"/>
      <c r="AG121" s="513">
        <f t="shared" si="63"/>
        <v>0</v>
      </c>
      <c r="AH121" s="520"/>
      <c r="AI121" s="520"/>
      <c r="AJ121" s="520"/>
      <c r="AK121" s="520"/>
      <c r="AL121" s="514"/>
      <c r="AM121" s="514"/>
      <c r="AN121" s="513"/>
      <c r="AO121" s="450"/>
      <c r="AP121" s="442"/>
      <c r="AQ121" s="442">
        <f>AR121+AS121</f>
        <v>0</v>
      </c>
      <c r="AR121" s="442"/>
      <c r="AS121" s="442"/>
      <c r="AT121" s="442"/>
      <c r="AU121" s="446">
        <f>'BTC-Chinh thuc'!H125-'BTC-Chinh thuc'!I125</f>
        <v>8710</v>
      </c>
    </row>
    <row r="122" spans="1:47" s="424" customFormat="1" ht="33.75" customHeight="1">
      <c r="A122" s="432" t="s">
        <v>433</v>
      </c>
      <c r="B122" s="469" t="s">
        <v>182</v>
      </c>
      <c r="C122" s="545">
        <f t="shared" si="60"/>
        <v>0</v>
      </c>
      <c r="D122" s="469"/>
      <c r="E122" s="469"/>
      <c r="F122" s="469"/>
      <c r="G122" s="469"/>
      <c r="H122" s="469"/>
      <c r="I122" s="469"/>
      <c r="J122" s="469"/>
      <c r="K122" s="459">
        <f t="shared" si="64"/>
        <v>0</v>
      </c>
      <c r="L122" s="461">
        <f t="shared" si="65"/>
        <v>-15315</v>
      </c>
      <c r="M122" s="459">
        <f t="shared" si="89"/>
        <v>0</v>
      </c>
      <c r="N122" s="459">
        <f t="shared" si="89"/>
        <v>-15315</v>
      </c>
      <c r="O122" s="459">
        <f t="shared" ref="O122:O192" si="90">P122+Q122</f>
        <v>-15315</v>
      </c>
      <c r="P122" s="459"/>
      <c r="Q122" s="459">
        <f>I122-P122-U122</f>
        <v>-15315</v>
      </c>
      <c r="R122" s="459">
        <f t="shared" si="79"/>
        <v>0</v>
      </c>
      <c r="S122" s="459"/>
      <c r="T122" s="459"/>
      <c r="U122" s="459">
        <f t="shared" si="36"/>
        <v>15315</v>
      </c>
      <c r="V122" s="459">
        <v>15315</v>
      </c>
      <c r="W122" s="459"/>
      <c r="X122" s="528">
        <f>'BTC-Chinh thuc'!L126</f>
        <v>0</v>
      </c>
      <c r="Y122" s="459">
        <f t="shared" si="61"/>
        <v>0</v>
      </c>
      <c r="Z122" s="459"/>
      <c r="AA122" s="459"/>
      <c r="AB122" s="459"/>
      <c r="AC122" s="459">
        <f t="shared" si="62"/>
        <v>0</v>
      </c>
      <c r="AD122" s="459"/>
      <c r="AE122" s="459"/>
      <c r="AF122" s="459"/>
      <c r="AG122" s="513">
        <f t="shared" si="63"/>
        <v>0</v>
      </c>
      <c r="AH122" s="520"/>
      <c r="AI122" s="520"/>
      <c r="AJ122" s="520"/>
      <c r="AK122" s="520"/>
      <c r="AL122" s="514"/>
      <c r="AM122" s="514"/>
      <c r="AN122" s="513"/>
      <c r="AO122" s="450"/>
      <c r="AP122" s="442"/>
      <c r="AQ122" s="442">
        <f>AR122+AS122</f>
        <v>0</v>
      </c>
      <c r="AR122" s="442"/>
      <c r="AS122" s="442"/>
      <c r="AT122" s="442"/>
      <c r="AU122" s="446">
        <f>'BTC-Chinh thuc'!H126-'BTC-Chinh thuc'!I126</f>
        <v>0</v>
      </c>
    </row>
    <row r="123" spans="1:47" s="424" customFormat="1" ht="47.25">
      <c r="A123" s="432" t="s">
        <v>433</v>
      </c>
      <c r="B123" s="153" t="s">
        <v>461</v>
      </c>
      <c r="C123" s="545">
        <f t="shared" si="60"/>
        <v>0</v>
      </c>
      <c r="D123" s="153"/>
      <c r="E123" s="153"/>
      <c r="F123" s="153"/>
      <c r="G123" s="153"/>
      <c r="H123" s="153"/>
      <c r="I123" s="153"/>
      <c r="J123" s="153"/>
      <c r="K123" s="459">
        <f t="shared" si="64"/>
        <v>0</v>
      </c>
      <c r="L123" s="461">
        <f t="shared" si="65"/>
        <v>-10229</v>
      </c>
      <c r="M123" s="459">
        <f t="shared" si="89"/>
        <v>0</v>
      </c>
      <c r="N123" s="459">
        <f t="shared" si="89"/>
        <v>-10229</v>
      </c>
      <c r="O123" s="459">
        <f>P123+Q123</f>
        <v>-10229</v>
      </c>
      <c r="P123" s="459"/>
      <c r="Q123" s="459">
        <f>I123-P123-U123</f>
        <v>-10229</v>
      </c>
      <c r="R123" s="459">
        <f t="shared" si="79"/>
        <v>0</v>
      </c>
      <c r="S123" s="459"/>
      <c r="T123" s="459"/>
      <c r="U123" s="459">
        <f t="shared" ref="U123:U193" si="91">V123+W123</f>
        <v>10229</v>
      </c>
      <c r="V123" s="459">
        <v>10229</v>
      </c>
      <c r="W123" s="459"/>
      <c r="X123" s="528">
        <f>'BTC-Chinh thuc'!L127</f>
        <v>0</v>
      </c>
      <c r="Y123" s="459">
        <f t="shared" si="61"/>
        <v>0</v>
      </c>
      <c r="Z123" s="459"/>
      <c r="AA123" s="459"/>
      <c r="AB123" s="459"/>
      <c r="AC123" s="459">
        <f t="shared" si="62"/>
        <v>0</v>
      </c>
      <c r="AD123" s="459"/>
      <c r="AE123" s="459"/>
      <c r="AF123" s="459"/>
      <c r="AG123" s="513">
        <f t="shared" si="63"/>
        <v>0</v>
      </c>
      <c r="AH123" s="520"/>
      <c r="AI123" s="520"/>
      <c r="AJ123" s="520"/>
      <c r="AK123" s="520"/>
      <c r="AL123" s="514"/>
      <c r="AM123" s="514"/>
      <c r="AN123" s="513"/>
      <c r="AO123" s="450"/>
      <c r="AP123" s="442"/>
      <c r="AQ123" s="442">
        <f>AR123+AS123</f>
        <v>0</v>
      </c>
      <c r="AR123" s="442"/>
      <c r="AS123" s="442"/>
      <c r="AT123" s="442"/>
      <c r="AU123" s="446">
        <f>'BTC-Chinh thuc'!H127-'BTC-Chinh thuc'!I127</f>
        <v>-10229</v>
      </c>
    </row>
    <row r="124" spans="1:47" s="424" customFormat="1">
      <c r="A124" s="432" t="s">
        <v>356</v>
      </c>
      <c r="B124" s="480" t="s">
        <v>402</v>
      </c>
      <c r="C124" s="545">
        <f t="shared" si="60"/>
        <v>0</v>
      </c>
      <c r="D124" s="480"/>
      <c r="E124" s="480"/>
      <c r="F124" s="480"/>
      <c r="G124" s="480"/>
      <c r="H124" s="480"/>
      <c r="I124" s="480"/>
      <c r="J124" s="480"/>
      <c r="K124" s="459">
        <f t="shared" si="64"/>
        <v>231317</v>
      </c>
      <c r="L124" s="461">
        <f t="shared" si="65"/>
        <v>231317</v>
      </c>
      <c r="M124" s="459">
        <f>M125+M127+M126</f>
        <v>0</v>
      </c>
      <c r="N124" s="459">
        <f>N125+N127+N126</f>
        <v>231317</v>
      </c>
      <c r="O124" s="459">
        <f>P124+Q124</f>
        <v>231317</v>
      </c>
      <c r="P124" s="459">
        <f>SUM(P125:P127)</f>
        <v>0</v>
      </c>
      <c r="Q124" s="459">
        <f>SUM(Q125:Q127)</f>
        <v>231317</v>
      </c>
      <c r="R124" s="459">
        <f t="shared" si="79"/>
        <v>0</v>
      </c>
      <c r="S124" s="459"/>
      <c r="T124" s="459">
        <f>SUM(T125:T127)</f>
        <v>0</v>
      </c>
      <c r="U124" s="459">
        <f t="shared" si="91"/>
        <v>0</v>
      </c>
      <c r="V124" s="459">
        <f>SUM(V125:V127)</f>
        <v>0</v>
      </c>
      <c r="W124" s="459">
        <f>SUM(W125:W127)</f>
        <v>0</v>
      </c>
      <c r="X124" s="528">
        <f>SUM(X125:X127)</f>
        <v>0</v>
      </c>
      <c r="Y124" s="459">
        <f t="shared" si="61"/>
        <v>0</v>
      </c>
      <c r="Z124" s="459"/>
      <c r="AA124" s="459"/>
      <c r="AB124" s="459">
        <f>SUM(AB125:AB127)</f>
        <v>0</v>
      </c>
      <c r="AC124" s="459">
        <f t="shared" si="62"/>
        <v>0</v>
      </c>
      <c r="AD124" s="459"/>
      <c r="AE124" s="459"/>
      <c r="AF124" s="459">
        <f>SUM(AF125:AF127)</f>
        <v>0</v>
      </c>
      <c r="AG124" s="513">
        <f t="shared" si="63"/>
        <v>231317</v>
      </c>
      <c r="AH124" s="520"/>
      <c r="AI124" s="520"/>
      <c r="AJ124" s="520"/>
      <c r="AK124" s="520"/>
      <c r="AL124" s="514"/>
      <c r="AM124" s="514"/>
      <c r="AN124" s="513"/>
      <c r="AO124" s="450"/>
      <c r="AP124" s="442"/>
      <c r="AQ124" s="442"/>
      <c r="AR124" s="442"/>
      <c r="AS124" s="442"/>
      <c r="AT124" s="442"/>
      <c r="AU124" s="446"/>
    </row>
    <row r="125" spans="1:47" s="424" customFormat="1">
      <c r="A125" s="432" t="s">
        <v>433</v>
      </c>
      <c r="B125" s="435" t="s">
        <v>446</v>
      </c>
      <c r="C125" s="545">
        <f t="shared" si="60"/>
        <v>0</v>
      </c>
      <c r="D125" s="435"/>
      <c r="E125" s="435"/>
      <c r="F125" s="435"/>
      <c r="G125" s="435"/>
      <c r="H125" s="435"/>
      <c r="I125" s="435"/>
      <c r="J125" s="435"/>
      <c r="K125" s="459">
        <f t="shared" si="64"/>
        <v>1475</v>
      </c>
      <c r="L125" s="461">
        <f t="shared" si="65"/>
        <v>1475</v>
      </c>
      <c r="M125" s="459">
        <f t="shared" ref="M125:N128" si="92">P125+S125</f>
        <v>0</v>
      </c>
      <c r="N125" s="459">
        <f t="shared" si="92"/>
        <v>1475</v>
      </c>
      <c r="O125" s="459">
        <f t="shared" ref="O125:O130" si="93">P125+Q125</f>
        <v>1475</v>
      </c>
      <c r="P125" s="459"/>
      <c r="Q125" s="459">
        <v>1475</v>
      </c>
      <c r="R125" s="459">
        <f t="shared" si="79"/>
        <v>0</v>
      </c>
      <c r="S125" s="459"/>
      <c r="T125" s="459"/>
      <c r="U125" s="459">
        <f t="shared" si="91"/>
        <v>0</v>
      </c>
      <c r="V125" s="459"/>
      <c r="W125" s="459"/>
      <c r="X125" s="528"/>
      <c r="Y125" s="459">
        <f t="shared" si="61"/>
        <v>0</v>
      </c>
      <c r="Z125" s="459"/>
      <c r="AA125" s="459"/>
      <c r="AB125" s="459"/>
      <c r="AC125" s="459">
        <f t="shared" si="62"/>
        <v>0</v>
      </c>
      <c r="AD125" s="459"/>
      <c r="AE125" s="459"/>
      <c r="AF125" s="459"/>
      <c r="AG125" s="513">
        <f t="shared" si="63"/>
        <v>1475</v>
      </c>
      <c r="AH125" s="520"/>
      <c r="AI125" s="520"/>
      <c r="AJ125" s="520"/>
      <c r="AK125" s="520"/>
      <c r="AL125" s="514"/>
      <c r="AM125" s="514"/>
      <c r="AN125" s="513"/>
      <c r="AO125" s="450"/>
      <c r="AP125" s="442"/>
      <c r="AQ125" s="442"/>
      <c r="AR125" s="442"/>
      <c r="AS125" s="442"/>
      <c r="AT125" s="442"/>
      <c r="AU125" s="446"/>
    </row>
    <row r="126" spans="1:47" s="424" customFormat="1">
      <c r="A126" s="432" t="s">
        <v>433</v>
      </c>
      <c r="B126" s="435" t="s">
        <v>465</v>
      </c>
      <c r="C126" s="545">
        <f t="shared" si="60"/>
        <v>0</v>
      </c>
      <c r="D126" s="435"/>
      <c r="E126" s="435"/>
      <c r="F126" s="435"/>
      <c r="G126" s="435"/>
      <c r="H126" s="435"/>
      <c r="I126" s="435"/>
      <c r="J126" s="435"/>
      <c r="K126" s="459">
        <f>L126+U126+X126</f>
        <v>169600</v>
      </c>
      <c r="L126" s="461">
        <f>M126+N126</f>
        <v>169600</v>
      </c>
      <c r="M126" s="459">
        <f>P126+S126</f>
        <v>0</v>
      </c>
      <c r="N126" s="459">
        <f>Q126+T126</f>
        <v>169600</v>
      </c>
      <c r="O126" s="459">
        <f>P126+Q126</f>
        <v>169600</v>
      </c>
      <c r="P126" s="459"/>
      <c r="Q126" s="459">
        <v>169600</v>
      </c>
      <c r="R126" s="459"/>
      <c r="S126" s="459"/>
      <c r="T126" s="459"/>
      <c r="U126" s="459"/>
      <c r="V126" s="459"/>
      <c r="W126" s="459"/>
      <c r="X126" s="528"/>
      <c r="Y126" s="459">
        <f t="shared" si="61"/>
        <v>0</v>
      </c>
      <c r="Z126" s="459"/>
      <c r="AA126" s="459"/>
      <c r="AB126" s="459"/>
      <c r="AC126" s="459">
        <f t="shared" si="62"/>
        <v>0</v>
      </c>
      <c r="AD126" s="459"/>
      <c r="AE126" s="459"/>
      <c r="AF126" s="459"/>
      <c r="AG126" s="513">
        <f t="shared" si="63"/>
        <v>169600</v>
      </c>
      <c r="AH126" s="520"/>
      <c r="AI126" s="520"/>
      <c r="AJ126" s="520"/>
      <c r="AK126" s="520"/>
      <c r="AL126" s="514"/>
      <c r="AM126" s="514"/>
      <c r="AN126" s="513"/>
      <c r="AO126" s="450"/>
      <c r="AP126" s="442"/>
      <c r="AQ126" s="442"/>
      <c r="AR126" s="442"/>
      <c r="AS126" s="442"/>
      <c r="AT126" s="442"/>
      <c r="AU126" s="446"/>
    </row>
    <row r="127" spans="1:47" s="424" customFormat="1">
      <c r="A127" s="432" t="s">
        <v>433</v>
      </c>
      <c r="B127" s="435" t="s">
        <v>402</v>
      </c>
      <c r="C127" s="545">
        <f t="shared" si="60"/>
        <v>0</v>
      </c>
      <c r="D127" s="435"/>
      <c r="E127" s="435"/>
      <c r="F127" s="435"/>
      <c r="G127" s="435"/>
      <c r="H127" s="435"/>
      <c r="I127" s="435"/>
      <c r="J127" s="435"/>
      <c r="K127" s="459">
        <f t="shared" si="64"/>
        <v>60242</v>
      </c>
      <c r="L127" s="461">
        <f t="shared" si="65"/>
        <v>60242</v>
      </c>
      <c r="M127" s="459">
        <f t="shared" si="92"/>
        <v>0</v>
      </c>
      <c r="N127" s="459">
        <f t="shared" si="92"/>
        <v>60242</v>
      </c>
      <c r="O127" s="459">
        <f t="shared" si="93"/>
        <v>60242</v>
      </c>
      <c r="P127" s="459"/>
      <c r="Q127" s="459">
        <f>60000+22+220</f>
        <v>60242</v>
      </c>
      <c r="R127" s="459">
        <f t="shared" si="79"/>
        <v>0</v>
      </c>
      <c r="S127" s="459"/>
      <c r="T127" s="459"/>
      <c r="U127" s="459">
        <f t="shared" si="91"/>
        <v>0</v>
      </c>
      <c r="V127" s="459"/>
      <c r="W127" s="459"/>
      <c r="X127" s="528"/>
      <c r="Y127" s="459">
        <f t="shared" si="61"/>
        <v>0</v>
      </c>
      <c r="Z127" s="459"/>
      <c r="AA127" s="459"/>
      <c r="AB127" s="459"/>
      <c r="AC127" s="459">
        <f t="shared" si="62"/>
        <v>0</v>
      </c>
      <c r="AD127" s="459"/>
      <c r="AE127" s="459"/>
      <c r="AF127" s="459"/>
      <c r="AG127" s="513">
        <f t="shared" si="63"/>
        <v>60242</v>
      </c>
      <c r="AH127" s="520"/>
      <c r="AI127" s="520"/>
      <c r="AJ127" s="520"/>
      <c r="AK127" s="520"/>
      <c r="AL127" s="514"/>
      <c r="AM127" s="514"/>
      <c r="AN127" s="513"/>
      <c r="AO127" s="450"/>
      <c r="AP127" s="442"/>
      <c r="AQ127" s="442"/>
      <c r="AR127" s="442"/>
      <c r="AS127" s="442"/>
      <c r="AT127" s="442"/>
      <c r="AU127" s="446"/>
    </row>
    <row r="128" spans="1:47">
      <c r="A128" s="431"/>
      <c r="B128" s="435" t="s">
        <v>447</v>
      </c>
      <c r="C128" s="545">
        <f t="shared" si="60"/>
        <v>0</v>
      </c>
      <c r="D128" s="435"/>
      <c r="E128" s="435"/>
      <c r="F128" s="435"/>
      <c r="G128" s="435"/>
      <c r="H128" s="435"/>
      <c r="I128" s="435"/>
      <c r="J128" s="435"/>
      <c r="K128" s="459">
        <f t="shared" si="64"/>
        <v>6024.2000000000007</v>
      </c>
      <c r="L128" s="461">
        <f t="shared" si="65"/>
        <v>6024.2000000000007</v>
      </c>
      <c r="M128" s="459">
        <f t="shared" si="92"/>
        <v>0</v>
      </c>
      <c r="N128" s="459">
        <f t="shared" si="92"/>
        <v>6024.2000000000007</v>
      </c>
      <c r="O128" s="459">
        <f t="shared" si="93"/>
        <v>6024.2000000000007</v>
      </c>
      <c r="P128" s="461"/>
      <c r="Q128" s="461">
        <f>Q127*10%</f>
        <v>6024.2000000000007</v>
      </c>
      <c r="R128" s="461">
        <f t="shared" si="79"/>
        <v>0</v>
      </c>
      <c r="S128" s="461"/>
      <c r="T128" s="461"/>
      <c r="U128" s="459">
        <f t="shared" si="91"/>
        <v>0</v>
      </c>
      <c r="V128" s="461"/>
      <c r="W128" s="461"/>
      <c r="X128" s="523">
        <f>X127*10%</f>
        <v>0</v>
      </c>
      <c r="Y128" s="461">
        <f t="shared" si="61"/>
        <v>0</v>
      </c>
      <c r="Z128" s="461"/>
      <c r="AA128" s="461"/>
      <c r="AB128" s="461"/>
      <c r="AC128" s="461">
        <f t="shared" si="62"/>
        <v>0</v>
      </c>
      <c r="AD128" s="461"/>
      <c r="AE128" s="461"/>
      <c r="AF128" s="461"/>
      <c r="AG128" s="513">
        <f t="shared" si="63"/>
        <v>6024.2000000000007</v>
      </c>
      <c r="AH128" s="513"/>
      <c r="AI128" s="513"/>
      <c r="AJ128" s="513"/>
      <c r="AK128" s="513"/>
      <c r="AL128" s="514"/>
      <c r="AM128" s="514"/>
      <c r="AN128" s="513"/>
      <c r="AO128" s="451"/>
      <c r="AQ128" s="440">
        <f>AR128+AS128</f>
        <v>0</v>
      </c>
    </row>
    <row r="129" spans="1:47" s="434" customFormat="1">
      <c r="A129" s="428">
        <v>10</v>
      </c>
      <c r="B129" s="433" t="s">
        <v>20</v>
      </c>
      <c r="C129" s="545">
        <f t="shared" si="60"/>
        <v>0</v>
      </c>
      <c r="D129" s="433">
        <f>D130+D133+D137</f>
        <v>0</v>
      </c>
      <c r="E129" s="433">
        <f t="shared" ref="E129:J129" si="94">E130+E133+E137</f>
        <v>0</v>
      </c>
      <c r="F129" s="433">
        <f t="shared" si="94"/>
        <v>0</v>
      </c>
      <c r="G129" s="433">
        <f t="shared" ref="G129" si="95">G130+G133+G137</f>
        <v>0</v>
      </c>
      <c r="H129" s="433">
        <f t="shared" ref="H129" si="96">H130+H133+H137</f>
        <v>0</v>
      </c>
      <c r="I129" s="433">
        <f t="shared" si="94"/>
        <v>0</v>
      </c>
      <c r="J129" s="433">
        <f t="shared" si="94"/>
        <v>0</v>
      </c>
      <c r="K129" s="501" t="e">
        <f>L129+U129+X129</f>
        <v>#REF!</v>
      </c>
      <c r="L129" s="458">
        <f>M129+N129</f>
        <v>631700</v>
      </c>
      <c r="M129" s="501">
        <f>M130+M133+M137</f>
        <v>190414</v>
      </c>
      <c r="N129" s="501">
        <f>N130+N133+N137</f>
        <v>441286</v>
      </c>
      <c r="O129" s="501">
        <f>P129+Q129</f>
        <v>631700</v>
      </c>
      <c r="P129" s="458">
        <f>P130+P133+P137</f>
        <v>190414</v>
      </c>
      <c r="Q129" s="458">
        <f>Q130+Q133+Q137</f>
        <v>441286</v>
      </c>
      <c r="R129" s="458">
        <f>S129+T129</f>
        <v>0</v>
      </c>
      <c r="S129" s="458">
        <f>S130+S133+S137</f>
        <v>0</v>
      </c>
      <c r="T129" s="458">
        <f>T130+T133+T137</f>
        <v>0</v>
      </c>
      <c r="U129" s="458">
        <f>V129+W129</f>
        <v>860890</v>
      </c>
      <c r="V129" s="458">
        <f>V130+V133+V137</f>
        <v>860890</v>
      </c>
      <c r="W129" s="458">
        <f>W130+W133+W137</f>
        <v>0</v>
      </c>
      <c r="X129" s="522" t="e">
        <f>X130+X133+X137</f>
        <v>#REF!</v>
      </c>
      <c r="Y129" s="458">
        <f t="shared" si="61"/>
        <v>0</v>
      </c>
      <c r="Z129" s="458">
        <f>Z130+Z133+Z137</f>
        <v>0</v>
      </c>
      <c r="AA129" s="458">
        <f>AA130+AA133+AA137</f>
        <v>0</v>
      </c>
      <c r="AB129" s="458">
        <f>AB130+AB133+AB137</f>
        <v>0</v>
      </c>
      <c r="AC129" s="458">
        <f t="shared" si="62"/>
        <v>0</v>
      </c>
      <c r="AD129" s="458">
        <f>AD130+AD133+AD137</f>
        <v>0</v>
      </c>
      <c r="AE129" s="458">
        <f>AE130+AE133+AE137</f>
        <v>0</v>
      </c>
      <c r="AF129" s="458">
        <f>AF130+AF133+AF137</f>
        <v>0</v>
      </c>
      <c r="AG129" s="513">
        <f t="shared" si="63"/>
        <v>1492590</v>
      </c>
      <c r="AH129" s="512"/>
      <c r="AI129" s="512"/>
      <c r="AJ129" s="512"/>
      <c r="AK129" s="512"/>
      <c r="AL129" s="514"/>
      <c r="AM129" s="514"/>
      <c r="AN129" s="513"/>
      <c r="AO129" s="449">
        <v>1656212</v>
      </c>
      <c r="AP129" s="441" t="e">
        <f>K129-AO129</f>
        <v>#REF!</v>
      </c>
      <c r="AQ129" s="441">
        <f>AR129+AS129</f>
        <v>0</v>
      </c>
      <c r="AR129" s="441"/>
      <c r="AS129" s="441"/>
      <c r="AT129" s="441"/>
      <c r="AU129" s="445">
        <f>'BTC-Chinh thuc'!M149</f>
        <v>-261028</v>
      </c>
    </row>
    <row r="130" spans="1:47">
      <c r="A130" s="431" t="s">
        <v>448</v>
      </c>
      <c r="B130" s="436" t="s">
        <v>403</v>
      </c>
      <c r="C130" s="545">
        <f t="shared" si="60"/>
        <v>0</v>
      </c>
      <c r="D130" s="436"/>
      <c r="E130" s="436"/>
      <c r="F130" s="436"/>
      <c r="G130" s="436"/>
      <c r="H130" s="436"/>
      <c r="I130" s="436"/>
      <c r="J130" s="436"/>
      <c r="K130" s="459">
        <f t="shared" ref="K130:K135" si="97">L130+U130+X130</f>
        <v>942444</v>
      </c>
      <c r="L130" s="461">
        <f>M130+N130</f>
        <v>157964</v>
      </c>
      <c r="M130" s="459">
        <f>M131+M132</f>
        <v>157964</v>
      </c>
      <c r="N130" s="459">
        <f>N131+N132</f>
        <v>0</v>
      </c>
      <c r="O130" s="459">
        <f t="shared" si="93"/>
        <v>157964</v>
      </c>
      <c r="P130" s="461">
        <f>P131+P132</f>
        <v>157964</v>
      </c>
      <c r="Q130" s="461">
        <f>Q131+Q132</f>
        <v>0</v>
      </c>
      <c r="R130" s="461">
        <f t="shared" si="79"/>
        <v>0</v>
      </c>
      <c r="S130" s="461">
        <f>S131+S132</f>
        <v>0</v>
      </c>
      <c r="T130" s="461">
        <f>T131+T132</f>
        <v>0</v>
      </c>
      <c r="U130" s="461">
        <f t="shared" si="91"/>
        <v>784480</v>
      </c>
      <c r="V130" s="461">
        <f>V131+V132</f>
        <v>784480</v>
      </c>
      <c r="W130" s="461">
        <f>W131+W132</f>
        <v>0</v>
      </c>
      <c r="X130" s="523">
        <f>X131+X132</f>
        <v>0</v>
      </c>
      <c r="Y130" s="461">
        <f t="shared" si="61"/>
        <v>0</v>
      </c>
      <c r="Z130" s="461">
        <f>Z131+Z132</f>
        <v>0</v>
      </c>
      <c r="AA130" s="461">
        <f>AA131+AA132</f>
        <v>0</v>
      </c>
      <c r="AB130" s="461">
        <f>AB131+AB132</f>
        <v>0</v>
      </c>
      <c r="AC130" s="461">
        <f t="shared" si="62"/>
        <v>0</v>
      </c>
      <c r="AD130" s="461">
        <f>AD131+AD132</f>
        <v>0</v>
      </c>
      <c r="AE130" s="461">
        <f>AE131+AE132</f>
        <v>0</v>
      </c>
      <c r="AF130" s="461">
        <f>AF131+AF132</f>
        <v>0</v>
      </c>
      <c r="AG130" s="513">
        <f t="shared" si="63"/>
        <v>942444</v>
      </c>
      <c r="AH130" s="513"/>
      <c r="AI130" s="513"/>
      <c r="AJ130" s="513"/>
      <c r="AK130" s="513"/>
      <c r="AL130" s="514">
        <f>849662-855114</f>
        <v>-5452</v>
      </c>
      <c r="AM130" s="514">
        <f>402966-403514</f>
        <v>-548</v>
      </c>
      <c r="AN130" s="513"/>
      <c r="AO130" s="451"/>
      <c r="AQ130" s="440">
        <f>AR130+AS130</f>
        <v>0</v>
      </c>
    </row>
    <row r="131" spans="1:47" s="424" customFormat="1">
      <c r="A131" s="432" t="s">
        <v>433</v>
      </c>
      <c r="B131" s="435" t="s">
        <v>37</v>
      </c>
      <c r="C131" s="545">
        <f t="shared" si="60"/>
        <v>0</v>
      </c>
      <c r="D131" s="435"/>
      <c r="E131" s="435"/>
      <c r="F131" s="435"/>
      <c r="G131" s="435"/>
      <c r="H131" s="435"/>
      <c r="I131" s="435"/>
      <c r="J131" s="435"/>
      <c r="K131" s="459">
        <f t="shared" si="97"/>
        <v>450772</v>
      </c>
      <c r="L131" s="461">
        <f>M131+N131</f>
        <v>48039</v>
      </c>
      <c r="M131" s="459">
        <f>P131+S131</f>
        <v>48039</v>
      </c>
      <c r="N131" s="459">
        <f>Q131+T131</f>
        <v>0</v>
      </c>
      <c r="O131" s="459">
        <f>P131+Q131</f>
        <v>48039</v>
      </c>
      <c r="P131" s="459">
        <v>48039</v>
      </c>
      <c r="Q131" s="459"/>
      <c r="R131" s="459">
        <f t="shared" si="79"/>
        <v>0</v>
      </c>
      <c r="S131" s="459"/>
      <c r="T131" s="459"/>
      <c r="U131" s="459">
        <f t="shared" si="91"/>
        <v>402733</v>
      </c>
      <c r="V131" s="459">
        <f>422614-19881</f>
        <v>402733</v>
      </c>
      <c r="W131" s="459"/>
      <c r="X131" s="525"/>
      <c r="Y131" s="459">
        <f t="shared" si="61"/>
        <v>0</v>
      </c>
      <c r="Z131" s="459"/>
      <c r="AA131" s="459"/>
      <c r="AB131" s="459"/>
      <c r="AC131" s="459">
        <f t="shared" si="62"/>
        <v>0</v>
      </c>
      <c r="AD131" s="459"/>
      <c r="AE131" s="459"/>
      <c r="AF131" s="459"/>
      <c r="AG131" s="513">
        <f t="shared" si="63"/>
        <v>450772</v>
      </c>
      <c r="AH131" s="520"/>
      <c r="AI131" s="520"/>
      <c r="AJ131" s="520"/>
      <c r="AK131" s="520"/>
      <c r="AL131" s="514"/>
      <c r="AM131" s="514"/>
      <c r="AN131" s="513"/>
      <c r="AO131" s="450"/>
      <c r="AP131" s="442"/>
      <c r="AQ131" s="442"/>
      <c r="AR131" s="442"/>
      <c r="AS131" s="442"/>
      <c r="AT131" s="442"/>
      <c r="AU131" s="446"/>
    </row>
    <row r="132" spans="1:47" s="424" customFormat="1">
      <c r="A132" s="432" t="s">
        <v>433</v>
      </c>
      <c r="B132" s="435" t="s">
        <v>437</v>
      </c>
      <c r="C132" s="545">
        <f t="shared" si="60"/>
        <v>0</v>
      </c>
      <c r="D132" s="435"/>
      <c r="E132" s="435"/>
      <c r="F132" s="435"/>
      <c r="G132" s="435"/>
      <c r="H132" s="435"/>
      <c r="I132" s="435"/>
      <c r="J132" s="435"/>
      <c r="K132" s="459">
        <f t="shared" si="97"/>
        <v>491672</v>
      </c>
      <c r="L132" s="461">
        <f>M132+N132</f>
        <v>109925</v>
      </c>
      <c r="M132" s="459">
        <f>P132+S132</f>
        <v>109925</v>
      </c>
      <c r="N132" s="459">
        <f>Q132+T132</f>
        <v>0</v>
      </c>
      <c r="O132" s="459">
        <f t="shared" si="90"/>
        <v>109925</v>
      </c>
      <c r="P132" s="459">
        <f>75225+700+34000</f>
        <v>109925</v>
      </c>
      <c r="Q132" s="459"/>
      <c r="R132" s="459">
        <f t="shared" si="79"/>
        <v>0</v>
      </c>
      <c r="S132" s="459"/>
      <c r="T132" s="459"/>
      <c r="U132" s="459">
        <f t="shared" si="91"/>
        <v>381747</v>
      </c>
      <c r="V132" s="459">
        <f>438276+19881-V133</f>
        <v>381747</v>
      </c>
      <c r="W132" s="459"/>
      <c r="X132" s="525"/>
      <c r="Y132" s="459">
        <f t="shared" si="61"/>
        <v>0</v>
      </c>
      <c r="Z132" s="459"/>
      <c r="AA132" s="459"/>
      <c r="AB132" s="459"/>
      <c r="AC132" s="459">
        <f t="shared" si="62"/>
        <v>0</v>
      </c>
      <c r="AD132" s="459"/>
      <c r="AE132" s="459"/>
      <c r="AF132" s="459"/>
      <c r="AG132" s="513">
        <f t="shared" si="63"/>
        <v>491672</v>
      </c>
      <c r="AH132" s="520"/>
      <c r="AI132" s="520"/>
      <c r="AJ132" s="520"/>
      <c r="AK132" s="520"/>
      <c r="AL132" s="514">
        <v>470417</v>
      </c>
      <c r="AM132" s="514"/>
      <c r="AN132" s="513"/>
      <c r="AO132" s="450"/>
      <c r="AP132" s="442">
        <f>V132+V133</f>
        <v>458157</v>
      </c>
      <c r="AQ132" s="442"/>
      <c r="AR132" s="442"/>
      <c r="AS132" s="442"/>
      <c r="AT132" s="442"/>
      <c r="AU132" s="446"/>
    </row>
    <row r="133" spans="1:47">
      <c r="A133" s="431" t="s">
        <v>449</v>
      </c>
      <c r="B133" s="436" t="s">
        <v>445</v>
      </c>
      <c r="C133" s="545">
        <f t="shared" si="60"/>
        <v>0</v>
      </c>
      <c r="D133" s="436"/>
      <c r="E133" s="436"/>
      <c r="F133" s="436"/>
      <c r="G133" s="436"/>
      <c r="H133" s="436"/>
      <c r="I133" s="436"/>
      <c r="J133" s="436"/>
      <c r="K133" s="461" t="e">
        <f t="shared" si="97"/>
        <v>#REF!</v>
      </c>
      <c r="L133" s="461">
        <f t="shared" si="65"/>
        <v>-76410</v>
      </c>
      <c r="M133" s="461">
        <f>M134+M135+M136</f>
        <v>32450</v>
      </c>
      <c r="N133" s="461">
        <f>N134+N135+N136</f>
        <v>-108860</v>
      </c>
      <c r="O133" s="461">
        <f t="shared" si="90"/>
        <v>-76410</v>
      </c>
      <c r="P133" s="461">
        <f>SUM(P134:P136)</f>
        <v>32450</v>
      </c>
      <c r="Q133" s="461">
        <f>SUM(Q134:Q136)</f>
        <v>-108860</v>
      </c>
      <c r="R133" s="461">
        <f t="shared" si="79"/>
        <v>0</v>
      </c>
      <c r="S133" s="461"/>
      <c r="T133" s="461"/>
      <c r="U133" s="461">
        <f t="shared" si="91"/>
        <v>76410</v>
      </c>
      <c r="V133" s="461">
        <f>SUM(V134:V136)</f>
        <v>76410</v>
      </c>
      <c r="W133" s="461">
        <f>SUM(W134:W136)</f>
        <v>0</v>
      </c>
      <c r="X133" s="523" t="e">
        <f>SUM(X134:X136)</f>
        <v>#REF!</v>
      </c>
      <c r="Y133" s="461">
        <f t="shared" si="61"/>
        <v>0</v>
      </c>
      <c r="Z133" s="461"/>
      <c r="AA133" s="461"/>
      <c r="AB133" s="461"/>
      <c r="AC133" s="461">
        <f t="shared" si="62"/>
        <v>0</v>
      </c>
      <c r="AD133" s="461"/>
      <c r="AE133" s="461"/>
      <c r="AF133" s="461"/>
      <c r="AG133" s="513">
        <f t="shared" si="63"/>
        <v>0</v>
      </c>
      <c r="AH133" s="513"/>
      <c r="AI133" s="513"/>
      <c r="AJ133" s="513"/>
      <c r="AK133" s="513"/>
      <c r="AL133" s="514">
        <f>AL132-V133</f>
        <v>394007</v>
      </c>
      <c r="AM133" s="514"/>
      <c r="AN133" s="513"/>
      <c r="AO133" s="451"/>
    </row>
    <row r="134" spans="1:47">
      <c r="A134" s="431" t="s">
        <v>433</v>
      </c>
      <c r="B134" s="108" t="s">
        <v>126</v>
      </c>
      <c r="C134" s="545">
        <f t="shared" si="60"/>
        <v>0</v>
      </c>
      <c r="D134" s="108"/>
      <c r="E134" s="108"/>
      <c r="F134" s="108"/>
      <c r="G134" s="108"/>
      <c r="H134" s="108"/>
      <c r="I134" s="108"/>
      <c r="J134" s="108"/>
      <c r="K134" s="461" t="e">
        <f t="shared" si="97"/>
        <v>#REF!</v>
      </c>
      <c r="L134" s="461">
        <f t="shared" si="65"/>
        <v>-29550</v>
      </c>
      <c r="M134" s="459">
        <f t="shared" ref="M134:N136" si="98">P134+S134</f>
        <v>32450</v>
      </c>
      <c r="N134" s="459">
        <f t="shared" si="98"/>
        <v>-62000</v>
      </c>
      <c r="O134" s="461">
        <f t="shared" si="90"/>
        <v>-29550</v>
      </c>
      <c r="P134" s="461">
        <v>32450</v>
      </c>
      <c r="Q134" s="461">
        <f>I134-P134-U134</f>
        <v>-62000</v>
      </c>
      <c r="R134" s="461">
        <f t="shared" si="79"/>
        <v>0</v>
      </c>
      <c r="S134" s="461"/>
      <c r="T134" s="461"/>
      <c r="U134" s="499">
        <f t="shared" si="91"/>
        <v>29550</v>
      </c>
      <c r="V134" s="499">
        <v>29550</v>
      </c>
      <c r="W134" s="499"/>
      <c r="X134" s="523" t="e">
        <f>'Bieu 17'!#REF!</f>
        <v>#REF!</v>
      </c>
      <c r="Y134" s="461">
        <f t="shared" si="61"/>
        <v>0</v>
      </c>
      <c r="Z134" s="461"/>
      <c r="AA134" s="461"/>
      <c r="AB134" s="461"/>
      <c r="AC134" s="461">
        <f t="shared" si="62"/>
        <v>0</v>
      </c>
      <c r="AD134" s="461"/>
      <c r="AE134" s="461"/>
      <c r="AF134" s="461"/>
      <c r="AG134" s="513">
        <f t="shared" si="63"/>
        <v>0</v>
      </c>
      <c r="AH134" s="513"/>
      <c r="AI134" s="513"/>
      <c r="AJ134" s="513"/>
      <c r="AK134" s="513"/>
      <c r="AL134" s="514"/>
      <c r="AM134" s="514"/>
      <c r="AN134" s="513"/>
      <c r="AO134" s="451"/>
      <c r="AQ134" s="440">
        <f>AR134+AS134</f>
        <v>0</v>
      </c>
    </row>
    <row r="135" spans="1:47" ht="31.5">
      <c r="A135" s="431" t="s">
        <v>433</v>
      </c>
      <c r="B135" s="108" t="s">
        <v>171</v>
      </c>
      <c r="C135" s="545">
        <f t="shared" si="60"/>
        <v>0</v>
      </c>
      <c r="D135" s="108"/>
      <c r="E135" s="108"/>
      <c r="F135" s="108"/>
      <c r="G135" s="108"/>
      <c r="H135" s="108"/>
      <c r="I135" s="108"/>
      <c r="J135" s="108"/>
      <c r="K135" s="461" t="e">
        <f t="shared" si="97"/>
        <v>#REF!</v>
      </c>
      <c r="L135" s="461">
        <f t="shared" si="65"/>
        <v>-46860</v>
      </c>
      <c r="M135" s="459">
        <f t="shared" si="98"/>
        <v>0</v>
      </c>
      <c r="N135" s="459">
        <f t="shared" si="98"/>
        <v>-46860</v>
      </c>
      <c r="O135" s="461">
        <f t="shared" si="90"/>
        <v>-46860</v>
      </c>
      <c r="P135" s="461"/>
      <c r="Q135" s="461">
        <f>I135-P135-U135</f>
        <v>-46860</v>
      </c>
      <c r="R135" s="461">
        <f t="shared" si="79"/>
        <v>0</v>
      </c>
      <c r="S135" s="461"/>
      <c r="T135" s="461"/>
      <c r="U135" s="499">
        <f t="shared" si="91"/>
        <v>46860</v>
      </c>
      <c r="V135" s="499">
        <v>46860</v>
      </c>
      <c r="W135" s="499"/>
      <c r="X135" s="523" t="e">
        <f>'Bieu 17'!#REF!</f>
        <v>#REF!</v>
      </c>
      <c r="Y135" s="461">
        <f t="shared" si="61"/>
        <v>0</v>
      </c>
      <c r="Z135" s="461"/>
      <c r="AA135" s="461"/>
      <c r="AB135" s="461"/>
      <c r="AC135" s="461">
        <f t="shared" si="62"/>
        <v>0</v>
      </c>
      <c r="AD135" s="461"/>
      <c r="AE135" s="461"/>
      <c r="AF135" s="461"/>
      <c r="AG135" s="513">
        <f t="shared" si="63"/>
        <v>0</v>
      </c>
      <c r="AH135" s="513"/>
      <c r="AI135" s="513"/>
      <c r="AJ135" s="513"/>
      <c r="AK135" s="513"/>
      <c r="AL135" s="514"/>
      <c r="AM135" s="514"/>
      <c r="AN135" s="513"/>
      <c r="AO135" s="451"/>
      <c r="AQ135" s="440">
        <f>AR135+AS135</f>
        <v>0</v>
      </c>
    </row>
    <row r="136" spans="1:47">
      <c r="A136" s="431" t="s">
        <v>433</v>
      </c>
      <c r="B136" s="108" t="s">
        <v>174</v>
      </c>
      <c r="C136" s="545">
        <f t="shared" si="60"/>
        <v>0</v>
      </c>
      <c r="D136" s="108"/>
      <c r="E136" s="108"/>
      <c r="F136" s="108"/>
      <c r="G136" s="108"/>
      <c r="H136" s="108"/>
      <c r="I136" s="108"/>
      <c r="J136" s="108"/>
      <c r="K136" s="461" t="e">
        <f t="shared" si="64"/>
        <v>#REF!</v>
      </c>
      <c r="L136" s="461">
        <f t="shared" si="65"/>
        <v>0</v>
      </c>
      <c r="M136" s="459">
        <f t="shared" si="98"/>
        <v>0</v>
      </c>
      <c r="N136" s="459">
        <f t="shared" si="98"/>
        <v>0</v>
      </c>
      <c r="O136" s="461">
        <f t="shared" si="90"/>
        <v>0</v>
      </c>
      <c r="P136" s="461"/>
      <c r="Q136" s="461">
        <f>I136-P136-U136</f>
        <v>0</v>
      </c>
      <c r="R136" s="461">
        <f t="shared" si="79"/>
        <v>0</v>
      </c>
      <c r="S136" s="461"/>
      <c r="T136" s="461"/>
      <c r="U136" s="461">
        <f t="shared" si="91"/>
        <v>0</v>
      </c>
      <c r="V136" s="461"/>
      <c r="W136" s="461"/>
      <c r="X136" s="523" t="e">
        <f>'Bieu 17'!#REF!</f>
        <v>#REF!</v>
      </c>
      <c r="Y136" s="461">
        <f t="shared" si="61"/>
        <v>0</v>
      </c>
      <c r="Z136" s="461"/>
      <c r="AA136" s="461"/>
      <c r="AB136" s="461"/>
      <c r="AC136" s="461">
        <f t="shared" si="62"/>
        <v>0</v>
      </c>
      <c r="AD136" s="461"/>
      <c r="AE136" s="461"/>
      <c r="AF136" s="461"/>
      <c r="AG136" s="513">
        <f t="shared" si="63"/>
        <v>0</v>
      </c>
      <c r="AH136" s="513"/>
      <c r="AI136" s="513"/>
      <c r="AJ136" s="513"/>
      <c r="AK136" s="513"/>
      <c r="AL136" s="514"/>
      <c r="AM136" s="514"/>
      <c r="AN136" s="513"/>
      <c r="AO136" s="451"/>
      <c r="AQ136" s="440">
        <f>AR136+AS136</f>
        <v>0</v>
      </c>
    </row>
    <row r="137" spans="1:47">
      <c r="A137" s="431" t="s">
        <v>450</v>
      </c>
      <c r="B137" s="108" t="s">
        <v>402</v>
      </c>
      <c r="C137" s="545">
        <f t="shared" si="60"/>
        <v>0</v>
      </c>
      <c r="D137" s="108"/>
      <c r="E137" s="108"/>
      <c r="F137" s="108"/>
      <c r="G137" s="108"/>
      <c r="H137" s="108"/>
      <c r="I137" s="108"/>
      <c r="J137" s="108"/>
      <c r="K137" s="461">
        <f>L137+U137+X137</f>
        <v>550146</v>
      </c>
      <c r="L137" s="461">
        <f>M137+N137</f>
        <v>550146</v>
      </c>
      <c r="M137" s="461">
        <f>M138+M140+M139</f>
        <v>0</v>
      </c>
      <c r="N137" s="461">
        <f>N138+N140+N139</f>
        <v>550146</v>
      </c>
      <c r="O137" s="461">
        <f>P137+Q137</f>
        <v>550146</v>
      </c>
      <c r="P137" s="461">
        <f>SUM(P138:P140)</f>
        <v>0</v>
      </c>
      <c r="Q137" s="461">
        <f>SUM(Q138:Q140)</f>
        <v>550146</v>
      </c>
      <c r="R137" s="461">
        <f t="shared" si="79"/>
        <v>0</v>
      </c>
      <c r="S137" s="461"/>
      <c r="T137" s="461">
        <f>SUM(T138:T140)</f>
        <v>0</v>
      </c>
      <c r="U137" s="461">
        <f>V137+W137</f>
        <v>0</v>
      </c>
      <c r="V137" s="461">
        <f>SUM(V138:V140)</f>
        <v>0</v>
      </c>
      <c r="W137" s="461">
        <f>SUM(W138:W140)</f>
        <v>0</v>
      </c>
      <c r="X137" s="523">
        <f>SUM(X138:X140)</f>
        <v>0</v>
      </c>
      <c r="Y137" s="461">
        <f t="shared" si="61"/>
        <v>0</v>
      </c>
      <c r="Z137" s="461"/>
      <c r="AA137" s="461"/>
      <c r="AB137" s="461">
        <f>SUM(AB138:AB140)</f>
        <v>0</v>
      </c>
      <c r="AC137" s="461">
        <f t="shared" si="62"/>
        <v>0</v>
      </c>
      <c r="AD137" s="461"/>
      <c r="AE137" s="461"/>
      <c r="AF137" s="461">
        <f>SUM(AF138:AF140)</f>
        <v>0</v>
      </c>
      <c r="AG137" s="513">
        <f t="shared" si="63"/>
        <v>550146</v>
      </c>
      <c r="AH137" s="513"/>
      <c r="AI137" s="513"/>
      <c r="AJ137" s="513"/>
      <c r="AK137" s="513"/>
      <c r="AL137" s="514"/>
      <c r="AM137" s="514"/>
      <c r="AN137" s="513"/>
      <c r="AO137" s="451"/>
      <c r="AQ137" s="440">
        <f>AR137+AS137</f>
        <v>0</v>
      </c>
    </row>
    <row r="138" spans="1:47">
      <c r="A138" s="431" t="s">
        <v>433</v>
      </c>
      <c r="B138" s="435" t="s">
        <v>446</v>
      </c>
      <c r="C138" s="545">
        <f t="shared" si="60"/>
        <v>0</v>
      </c>
      <c r="D138" s="435"/>
      <c r="E138" s="435"/>
      <c r="F138" s="435"/>
      <c r="G138" s="435"/>
      <c r="H138" s="435"/>
      <c r="I138" s="435"/>
      <c r="J138" s="435"/>
      <c r="K138" s="461">
        <f t="shared" si="64"/>
        <v>6417</v>
      </c>
      <c r="L138" s="461">
        <f t="shared" si="65"/>
        <v>6417</v>
      </c>
      <c r="M138" s="459">
        <f t="shared" ref="M138:N142" si="99">P138+S138</f>
        <v>0</v>
      </c>
      <c r="N138" s="459">
        <f t="shared" si="99"/>
        <v>6417</v>
      </c>
      <c r="O138" s="461">
        <f t="shared" ref="O138:O143" si="100">P138+Q138</f>
        <v>6417</v>
      </c>
      <c r="P138" s="461"/>
      <c r="Q138" s="461">
        <v>6417</v>
      </c>
      <c r="R138" s="461">
        <f t="shared" si="79"/>
        <v>0</v>
      </c>
      <c r="S138" s="461"/>
      <c r="T138" s="461"/>
      <c r="U138" s="461">
        <f t="shared" si="91"/>
        <v>0</v>
      </c>
      <c r="V138" s="461"/>
      <c r="W138" s="461"/>
      <c r="X138" s="526"/>
      <c r="Y138" s="461">
        <f t="shared" si="61"/>
        <v>0</v>
      </c>
      <c r="Z138" s="461"/>
      <c r="AA138" s="461"/>
      <c r="AB138" s="461"/>
      <c r="AC138" s="461">
        <f t="shared" si="62"/>
        <v>0</v>
      </c>
      <c r="AD138" s="461"/>
      <c r="AE138" s="461"/>
      <c r="AF138" s="461"/>
      <c r="AG138" s="513">
        <f t="shared" si="63"/>
        <v>6417</v>
      </c>
      <c r="AH138" s="513"/>
      <c r="AI138" s="513"/>
      <c r="AJ138" s="513"/>
      <c r="AK138" s="513"/>
      <c r="AL138" s="514"/>
      <c r="AM138" s="514"/>
      <c r="AN138" s="513"/>
      <c r="AO138" s="451"/>
    </row>
    <row r="139" spans="1:47">
      <c r="A139" s="431" t="s">
        <v>433</v>
      </c>
      <c r="B139" s="435" t="s">
        <v>465</v>
      </c>
      <c r="C139" s="545">
        <f t="shared" ref="C139:C193" si="101">SUM(D139:J139)</f>
        <v>0</v>
      </c>
      <c r="D139" s="435"/>
      <c r="E139" s="435"/>
      <c r="F139" s="435"/>
      <c r="G139" s="435"/>
      <c r="H139" s="435"/>
      <c r="I139" s="435"/>
      <c r="J139" s="435"/>
      <c r="K139" s="461">
        <f>L139+U139+X139</f>
        <v>188420</v>
      </c>
      <c r="L139" s="461">
        <f>M139+N139</f>
        <v>188420</v>
      </c>
      <c r="M139" s="459">
        <f>P139+S139</f>
        <v>0</v>
      </c>
      <c r="N139" s="459">
        <f>Q139+T139</f>
        <v>188420</v>
      </c>
      <c r="O139" s="461">
        <f>P139+Q139</f>
        <v>188420</v>
      </c>
      <c r="P139" s="461"/>
      <c r="Q139" s="461">
        <v>188420</v>
      </c>
      <c r="R139" s="461"/>
      <c r="S139" s="461"/>
      <c r="T139" s="461"/>
      <c r="U139" s="461"/>
      <c r="V139" s="461"/>
      <c r="W139" s="461"/>
      <c r="X139" s="526"/>
      <c r="Y139" s="461">
        <f t="shared" ref="Y139:Y193" si="102">Z139+AA139+AB139</f>
        <v>0</v>
      </c>
      <c r="Z139" s="461"/>
      <c r="AA139" s="461"/>
      <c r="AB139" s="461"/>
      <c r="AC139" s="461">
        <f t="shared" ref="AC139:AC193" si="103">AD139+AE139+AF139</f>
        <v>0</v>
      </c>
      <c r="AD139" s="461"/>
      <c r="AE139" s="461"/>
      <c r="AF139" s="461"/>
      <c r="AG139" s="513">
        <f t="shared" ref="AG139:AG194" si="104">O139+U139</f>
        <v>188420</v>
      </c>
      <c r="AH139" s="513"/>
      <c r="AI139" s="513"/>
      <c r="AJ139" s="513"/>
      <c r="AK139" s="513"/>
      <c r="AL139" s="514"/>
      <c r="AM139" s="514"/>
      <c r="AN139" s="513"/>
      <c r="AO139" s="451"/>
    </row>
    <row r="140" spans="1:47">
      <c r="A140" s="431" t="s">
        <v>433</v>
      </c>
      <c r="B140" s="435" t="s">
        <v>402</v>
      </c>
      <c r="C140" s="545">
        <f t="shared" si="101"/>
        <v>0</v>
      </c>
      <c r="D140" s="435"/>
      <c r="E140" s="435"/>
      <c r="F140" s="435"/>
      <c r="G140" s="435"/>
      <c r="H140" s="435"/>
      <c r="I140" s="435"/>
      <c r="J140" s="435"/>
      <c r="K140" s="461">
        <f t="shared" si="64"/>
        <v>355309</v>
      </c>
      <c r="L140" s="461">
        <f t="shared" si="65"/>
        <v>355309</v>
      </c>
      <c r="M140" s="459">
        <f t="shared" si="99"/>
        <v>0</v>
      </c>
      <c r="N140" s="459">
        <f t="shared" si="99"/>
        <v>355309</v>
      </c>
      <c r="O140" s="461">
        <f t="shared" si="100"/>
        <v>355309</v>
      </c>
      <c r="P140" s="461"/>
      <c r="Q140" s="461">
        <f>401960+186-14923+35694+5000-31435-133-8850-3250-8000-2-1000-1000-3-5704-1269+6000-15000+1628-100-5000+15000-1335+17+1828-15000</f>
        <v>355309</v>
      </c>
      <c r="R140" s="461">
        <f t="shared" si="79"/>
        <v>0</v>
      </c>
      <c r="S140" s="461"/>
      <c r="T140" s="461"/>
      <c r="U140" s="461">
        <f t="shared" si="91"/>
        <v>0</v>
      </c>
      <c r="V140" s="461"/>
      <c r="W140" s="461"/>
      <c r="X140" s="526"/>
      <c r="Y140" s="461">
        <f t="shared" si="102"/>
        <v>0</v>
      </c>
      <c r="Z140" s="461"/>
      <c r="AA140" s="461"/>
      <c r="AB140" s="461"/>
      <c r="AC140" s="461">
        <f t="shared" si="103"/>
        <v>0</v>
      </c>
      <c r="AD140" s="461"/>
      <c r="AE140" s="461"/>
      <c r="AF140" s="461"/>
      <c r="AG140" s="513">
        <f t="shared" si="104"/>
        <v>355309</v>
      </c>
      <c r="AH140" s="513"/>
      <c r="AI140" s="513"/>
      <c r="AJ140" s="513"/>
      <c r="AK140" s="513"/>
      <c r="AL140" s="514"/>
      <c r="AM140" s="514"/>
      <c r="AN140" s="513"/>
      <c r="AO140" s="451"/>
    </row>
    <row r="141" spans="1:47" ht="31.5">
      <c r="A141" s="431"/>
      <c r="B141" s="439" t="s">
        <v>438</v>
      </c>
      <c r="C141" s="545">
        <f t="shared" si="101"/>
        <v>0</v>
      </c>
      <c r="D141" s="439"/>
      <c r="E141" s="439"/>
      <c r="F141" s="439"/>
      <c r="G141" s="439"/>
      <c r="H141" s="439"/>
      <c r="I141" s="439"/>
      <c r="J141" s="439"/>
      <c r="K141" s="461">
        <f t="shared" si="64"/>
        <v>5000</v>
      </c>
      <c r="L141" s="461">
        <f t="shared" si="65"/>
        <v>5000</v>
      </c>
      <c r="M141" s="459">
        <f t="shared" si="99"/>
        <v>0</v>
      </c>
      <c r="N141" s="459">
        <f t="shared" si="99"/>
        <v>5000</v>
      </c>
      <c r="O141" s="461">
        <f t="shared" si="100"/>
        <v>5000</v>
      </c>
      <c r="P141" s="461"/>
      <c r="Q141" s="461">
        <v>5000</v>
      </c>
      <c r="R141" s="461">
        <f t="shared" si="79"/>
        <v>0</v>
      </c>
      <c r="S141" s="461"/>
      <c r="T141" s="461"/>
      <c r="U141" s="461">
        <f t="shared" si="91"/>
        <v>0</v>
      </c>
      <c r="V141" s="461"/>
      <c r="W141" s="461"/>
      <c r="X141" s="526"/>
      <c r="Y141" s="461">
        <f t="shared" si="102"/>
        <v>0</v>
      </c>
      <c r="Z141" s="461"/>
      <c r="AA141" s="461"/>
      <c r="AB141" s="461"/>
      <c r="AC141" s="461">
        <f t="shared" si="103"/>
        <v>0</v>
      </c>
      <c r="AD141" s="461"/>
      <c r="AE141" s="461"/>
      <c r="AF141" s="461"/>
      <c r="AG141" s="513">
        <f t="shared" si="104"/>
        <v>5000</v>
      </c>
      <c r="AH141" s="513"/>
      <c r="AI141" s="513"/>
      <c r="AJ141" s="513"/>
      <c r="AK141" s="513"/>
      <c r="AL141" s="514"/>
      <c r="AM141" s="514"/>
      <c r="AN141" s="513"/>
      <c r="AO141" s="451"/>
    </row>
    <row r="142" spans="1:47" s="422" customFormat="1" ht="31.5">
      <c r="A142" s="432"/>
      <c r="B142" s="439" t="s">
        <v>452</v>
      </c>
      <c r="C142" s="545">
        <f t="shared" si="101"/>
        <v>0</v>
      </c>
      <c r="D142" s="439"/>
      <c r="E142" s="439"/>
      <c r="F142" s="439"/>
      <c r="G142" s="439"/>
      <c r="H142" s="439"/>
      <c r="I142" s="439"/>
      <c r="J142" s="439"/>
      <c r="K142" s="461">
        <f t="shared" si="64"/>
        <v>35530.9</v>
      </c>
      <c r="L142" s="461">
        <f t="shared" si="65"/>
        <v>35530.9</v>
      </c>
      <c r="M142" s="459">
        <f t="shared" si="99"/>
        <v>0</v>
      </c>
      <c r="N142" s="459">
        <f t="shared" si="99"/>
        <v>35530.9</v>
      </c>
      <c r="O142" s="461">
        <f t="shared" si="100"/>
        <v>35530.9</v>
      </c>
      <c r="P142" s="463"/>
      <c r="Q142" s="463">
        <f>Q140*10%</f>
        <v>35530.9</v>
      </c>
      <c r="R142" s="463">
        <f t="shared" si="79"/>
        <v>0</v>
      </c>
      <c r="S142" s="463"/>
      <c r="T142" s="463"/>
      <c r="U142" s="461">
        <f t="shared" si="91"/>
        <v>0</v>
      </c>
      <c r="V142" s="463"/>
      <c r="W142" s="463"/>
      <c r="X142" s="532">
        <f>X140*10%</f>
        <v>0</v>
      </c>
      <c r="Y142" s="463">
        <f t="shared" si="102"/>
        <v>0</v>
      </c>
      <c r="Z142" s="463"/>
      <c r="AA142" s="463"/>
      <c r="AB142" s="463"/>
      <c r="AC142" s="463">
        <f t="shared" si="103"/>
        <v>0</v>
      </c>
      <c r="AD142" s="463"/>
      <c r="AE142" s="463"/>
      <c r="AF142" s="463"/>
      <c r="AG142" s="513">
        <f t="shared" si="104"/>
        <v>35530.9</v>
      </c>
      <c r="AH142" s="554"/>
      <c r="AI142" s="554"/>
      <c r="AJ142" s="554"/>
      <c r="AK142" s="554"/>
      <c r="AL142" s="514"/>
      <c r="AM142" s="514"/>
      <c r="AN142" s="513"/>
      <c r="AO142" s="452"/>
      <c r="AP142" s="443"/>
      <c r="AQ142" s="442"/>
      <c r="AR142" s="443"/>
      <c r="AS142" s="443"/>
      <c r="AT142" s="443"/>
      <c r="AU142" s="447"/>
    </row>
    <row r="143" spans="1:47" s="434" customFormat="1" ht="18" customHeight="1">
      <c r="A143" s="428">
        <v>11</v>
      </c>
      <c r="B143" s="433" t="s">
        <v>131</v>
      </c>
      <c r="C143" s="545">
        <f t="shared" si="101"/>
        <v>0</v>
      </c>
      <c r="D143" s="433">
        <f>D144+D147</f>
        <v>0</v>
      </c>
      <c r="E143" s="433">
        <f t="shared" ref="E143:J143" si="105">E144+E147</f>
        <v>0</v>
      </c>
      <c r="F143" s="433">
        <f t="shared" si="105"/>
        <v>0</v>
      </c>
      <c r="G143" s="433">
        <f t="shared" ref="G143" si="106">G144+G147</f>
        <v>0</v>
      </c>
      <c r="H143" s="433">
        <f t="shared" ref="H143" si="107">H144+H147</f>
        <v>0</v>
      </c>
      <c r="I143" s="433">
        <f t="shared" si="105"/>
        <v>0</v>
      </c>
      <c r="J143" s="433">
        <f t="shared" si="105"/>
        <v>0</v>
      </c>
      <c r="K143" s="458">
        <f t="shared" si="64"/>
        <v>160306</v>
      </c>
      <c r="L143" s="458">
        <f t="shared" si="65"/>
        <v>96886</v>
      </c>
      <c r="M143" s="458">
        <f>M144+M147</f>
        <v>33800</v>
      </c>
      <c r="N143" s="458">
        <f>N144+N147</f>
        <v>63086</v>
      </c>
      <c r="O143" s="458">
        <f t="shared" si="100"/>
        <v>96886</v>
      </c>
      <c r="P143" s="458">
        <f>P144+P147</f>
        <v>33800</v>
      </c>
      <c r="Q143" s="458">
        <f>Q144+Q147</f>
        <v>63086</v>
      </c>
      <c r="R143" s="458">
        <f t="shared" si="79"/>
        <v>0</v>
      </c>
      <c r="S143" s="458">
        <f>S144+S147</f>
        <v>0</v>
      </c>
      <c r="T143" s="458">
        <f>T144+T147</f>
        <v>0</v>
      </c>
      <c r="U143" s="458">
        <f t="shared" si="91"/>
        <v>63420</v>
      </c>
      <c r="V143" s="458">
        <f>V144+V147</f>
        <v>63420</v>
      </c>
      <c r="W143" s="458">
        <f>W144+W147</f>
        <v>0</v>
      </c>
      <c r="X143" s="522">
        <f>X144+X147</f>
        <v>0</v>
      </c>
      <c r="Y143" s="458">
        <f t="shared" si="102"/>
        <v>0</v>
      </c>
      <c r="Z143" s="458">
        <f>Z144+Z147</f>
        <v>0</v>
      </c>
      <c r="AA143" s="458">
        <f>AA144+AA147</f>
        <v>0</v>
      </c>
      <c r="AB143" s="458">
        <f>AB144+AB147</f>
        <v>0</v>
      </c>
      <c r="AC143" s="458">
        <f t="shared" si="103"/>
        <v>0</v>
      </c>
      <c r="AD143" s="458">
        <f>AD144+AD147</f>
        <v>0</v>
      </c>
      <c r="AE143" s="458">
        <f>AE144+AE147</f>
        <v>0</v>
      </c>
      <c r="AF143" s="458">
        <f>AF144+AF147</f>
        <v>0</v>
      </c>
      <c r="AG143" s="513">
        <f t="shared" si="104"/>
        <v>160306</v>
      </c>
      <c r="AH143" s="512"/>
      <c r="AI143" s="512"/>
      <c r="AJ143" s="512"/>
      <c r="AK143" s="512"/>
      <c r="AL143" s="514"/>
      <c r="AM143" s="514"/>
      <c r="AN143" s="513"/>
      <c r="AO143" s="449">
        <v>154006</v>
      </c>
      <c r="AP143" s="441">
        <f>K143-AO143</f>
        <v>6300</v>
      </c>
      <c r="AQ143" s="441">
        <f>AR143+AS143</f>
        <v>0</v>
      </c>
      <c r="AR143" s="441"/>
      <c r="AS143" s="441"/>
      <c r="AT143" s="441"/>
      <c r="AU143" s="445"/>
    </row>
    <row r="144" spans="1:47" ht="18" customHeight="1">
      <c r="A144" s="431" t="s">
        <v>117</v>
      </c>
      <c r="B144" s="436" t="s">
        <v>401</v>
      </c>
      <c r="C144" s="545">
        <f t="shared" si="101"/>
        <v>0</v>
      </c>
      <c r="D144" s="436"/>
      <c r="E144" s="436"/>
      <c r="F144" s="436"/>
      <c r="G144" s="436"/>
      <c r="H144" s="436"/>
      <c r="I144" s="436"/>
      <c r="J144" s="436"/>
      <c r="K144" s="461">
        <f t="shared" ref="K144:K193" si="108">L144+U144+X144</f>
        <v>97220</v>
      </c>
      <c r="L144" s="461">
        <f t="shared" si="65"/>
        <v>33800</v>
      </c>
      <c r="M144" s="461">
        <f>M145+M146</f>
        <v>33800</v>
      </c>
      <c r="N144" s="461">
        <f>N145+N146</f>
        <v>0</v>
      </c>
      <c r="O144" s="461">
        <f t="shared" si="90"/>
        <v>33800</v>
      </c>
      <c r="P144" s="461">
        <f>P145+P146</f>
        <v>33800</v>
      </c>
      <c r="Q144" s="461">
        <f>Q145+Q146</f>
        <v>0</v>
      </c>
      <c r="R144" s="461">
        <f t="shared" si="79"/>
        <v>0</v>
      </c>
      <c r="S144" s="461">
        <f>S145+S146</f>
        <v>0</v>
      </c>
      <c r="T144" s="461">
        <f>T145+T146</f>
        <v>0</v>
      </c>
      <c r="U144" s="461">
        <f t="shared" si="91"/>
        <v>63420</v>
      </c>
      <c r="V144" s="461">
        <f>V145+V146</f>
        <v>63420</v>
      </c>
      <c r="W144" s="461">
        <f>W145+W146</f>
        <v>0</v>
      </c>
      <c r="X144" s="523">
        <f>X145+X146</f>
        <v>0</v>
      </c>
      <c r="Y144" s="461">
        <f t="shared" si="102"/>
        <v>0</v>
      </c>
      <c r="Z144" s="461">
        <f>Z145+Z146</f>
        <v>0</v>
      </c>
      <c r="AA144" s="461">
        <f>AA145+AA146</f>
        <v>0</v>
      </c>
      <c r="AB144" s="461">
        <f>AB145+AB146</f>
        <v>0</v>
      </c>
      <c r="AC144" s="461">
        <f t="shared" si="103"/>
        <v>0</v>
      </c>
      <c r="AD144" s="461">
        <f>AD145+AD146</f>
        <v>0</v>
      </c>
      <c r="AE144" s="461">
        <f>AE145+AE146</f>
        <v>0</v>
      </c>
      <c r="AF144" s="461">
        <f>AF145+AF146</f>
        <v>0</v>
      </c>
      <c r="AG144" s="513">
        <f t="shared" si="104"/>
        <v>97220</v>
      </c>
      <c r="AH144" s="513"/>
      <c r="AI144" s="513"/>
      <c r="AJ144" s="513"/>
      <c r="AK144" s="513"/>
      <c r="AL144" s="514"/>
      <c r="AM144" s="514"/>
      <c r="AN144" s="513"/>
      <c r="AO144" s="451"/>
    </row>
    <row r="145" spans="1:47" s="424" customFormat="1" ht="18" customHeight="1">
      <c r="A145" s="432" t="s">
        <v>433</v>
      </c>
      <c r="B145" s="435" t="s">
        <v>37</v>
      </c>
      <c r="C145" s="545">
        <f t="shared" si="101"/>
        <v>0</v>
      </c>
      <c r="D145" s="435"/>
      <c r="E145" s="435"/>
      <c r="F145" s="435"/>
      <c r="G145" s="435"/>
      <c r="H145" s="435"/>
      <c r="I145" s="435"/>
      <c r="J145" s="435"/>
      <c r="K145" s="459">
        <f t="shared" si="108"/>
        <v>51920</v>
      </c>
      <c r="L145" s="461">
        <f t="shared" si="65"/>
        <v>500</v>
      </c>
      <c r="M145" s="459">
        <f>P145+S145</f>
        <v>500</v>
      </c>
      <c r="N145" s="459">
        <f>Q145+T145</f>
        <v>0</v>
      </c>
      <c r="O145" s="459">
        <f t="shared" si="90"/>
        <v>500</v>
      </c>
      <c r="P145" s="459">
        <v>500</v>
      </c>
      <c r="Q145" s="459"/>
      <c r="R145" s="459">
        <f t="shared" si="79"/>
        <v>0</v>
      </c>
      <c r="S145" s="459"/>
      <c r="T145" s="459"/>
      <c r="U145" s="459">
        <f t="shared" si="91"/>
        <v>51420</v>
      </c>
      <c r="V145" s="459">
        <v>51420</v>
      </c>
      <c r="W145" s="459"/>
      <c r="X145" s="525"/>
      <c r="Y145" s="459">
        <f t="shared" si="102"/>
        <v>0</v>
      </c>
      <c r="Z145" s="459"/>
      <c r="AA145" s="459"/>
      <c r="AB145" s="459"/>
      <c r="AC145" s="459">
        <f t="shared" si="103"/>
        <v>0</v>
      </c>
      <c r="AD145" s="459"/>
      <c r="AE145" s="459"/>
      <c r="AF145" s="459"/>
      <c r="AG145" s="513">
        <f t="shared" si="104"/>
        <v>51920</v>
      </c>
      <c r="AH145" s="520"/>
      <c r="AI145" s="520"/>
      <c r="AJ145" s="520"/>
      <c r="AK145" s="520"/>
      <c r="AL145" s="514"/>
      <c r="AM145" s="514"/>
      <c r="AN145" s="513"/>
      <c r="AO145" s="450"/>
      <c r="AP145" s="442"/>
      <c r="AQ145" s="442"/>
      <c r="AR145" s="442"/>
      <c r="AS145" s="442"/>
      <c r="AT145" s="442"/>
      <c r="AU145" s="446"/>
    </row>
    <row r="146" spans="1:47" s="424" customFormat="1">
      <c r="A146" s="432" t="s">
        <v>433</v>
      </c>
      <c r="B146" s="435" t="s">
        <v>437</v>
      </c>
      <c r="C146" s="545">
        <f t="shared" si="101"/>
        <v>0</v>
      </c>
      <c r="D146" s="435"/>
      <c r="E146" s="435"/>
      <c r="F146" s="435"/>
      <c r="G146" s="435"/>
      <c r="H146" s="435"/>
      <c r="I146" s="435"/>
      <c r="J146" s="435"/>
      <c r="K146" s="459">
        <f t="shared" si="108"/>
        <v>45300</v>
      </c>
      <c r="L146" s="461">
        <f t="shared" si="65"/>
        <v>33300</v>
      </c>
      <c r="M146" s="459">
        <f>P146+S146</f>
        <v>33300</v>
      </c>
      <c r="N146" s="459">
        <f>Q146+T146</f>
        <v>0</v>
      </c>
      <c r="O146" s="459">
        <f t="shared" si="90"/>
        <v>33300</v>
      </c>
      <c r="P146" s="459">
        <f>32900+400</f>
        <v>33300</v>
      </c>
      <c r="Q146" s="459"/>
      <c r="R146" s="459">
        <f t="shared" si="79"/>
        <v>0</v>
      </c>
      <c r="S146" s="459"/>
      <c r="T146" s="459"/>
      <c r="U146" s="459">
        <f t="shared" si="91"/>
        <v>12000</v>
      </c>
      <c r="V146" s="459">
        <v>12000</v>
      </c>
      <c r="W146" s="459"/>
      <c r="X146" s="525"/>
      <c r="Y146" s="459">
        <f t="shared" si="102"/>
        <v>0</v>
      </c>
      <c r="Z146" s="459"/>
      <c r="AA146" s="459"/>
      <c r="AB146" s="459"/>
      <c r="AC146" s="459">
        <f t="shared" si="103"/>
        <v>0</v>
      </c>
      <c r="AD146" s="459"/>
      <c r="AE146" s="459"/>
      <c r="AF146" s="459"/>
      <c r="AG146" s="513">
        <f t="shared" si="104"/>
        <v>45300</v>
      </c>
      <c r="AH146" s="520"/>
      <c r="AI146" s="520"/>
      <c r="AJ146" s="520"/>
      <c r="AK146" s="520"/>
      <c r="AL146" s="514"/>
      <c r="AM146" s="514"/>
      <c r="AN146" s="513"/>
      <c r="AO146" s="450"/>
      <c r="AP146" s="442"/>
      <c r="AQ146" s="442"/>
      <c r="AR146" s="442"/>
      <c r="AS146" s="442"/>
      <c r="AT146" s="442"/>
      <c r="AU146" s="446"/>
    </row>
    <row r="147" spans="1:47" s="424" customFormat="1">
      <c r="A147" s="432" t="s">
        <v>119</v>
      </c>
      <c r="B147" s="480" t="s">
        <v>402</v>
      </c>
      <c r="C147" s="545">
        <f t="shared" si="101"/>
        <v>0</v>
      </c>
      <c r="D147" s="480"/>
      <c r="E147" s="480"/>
      <c r="F147" s="480"/>
      <c r="G147" s="480"/>
      <c r="H147" s="480"/>
      <c r="I147" s="480"/>
      <c r="J147" s="480"/>
      <c r="K147" s="459">
        <f t="shared" si="108"/>
        <v>63086</v>
      </c>
      <c r="L147" s="461">
        <f t="shared" si="65"/>
        <v>63086</v>
      </c>
      <c r="M147" s="459">
        <f>M148+M149</f>
        <v>0</v>
      </c>
      <c r="N147" s="459">
        <f>N148+N149</f>
        <v>63086</v>
      </c>
      <c r="O147" s="459">
        <f>P147+Q147</f>
        <v>63086</v>
      </c>
      <c r="P147" s="459">
        <f>SUM(P148:P149)</f>
        <v>0</v>
      </c>
      <c r="Q147" s="459">
        <f>SUM(Q148:Q149)</f>
        <v>63086</v>
      </c>
      <c r="R147" s="459">
        <f t="shared" si="79"/>
        <v>0</v>
      </c>
      <c r="S147" s="459">
        <f>SUM(S148:S149)</f>
        <v>0</v>
      </c>
      <c r="T147" s="459">
        <f>SUM(T148:T149)</f>
        <v>0</v>
      </c>
      <c r="U147" s="459">
        <f t="shared" si="91"/>
        <v>0</v>
      </c>
      <c r="V147" s="459">
        <f>SUM(V148:V149)</f>
        <v>0</v>
      </c>
      <c r="W147" s="459">
        <f>SUM(W148:W149)</f>
        <v>0</v>
      </c>
      <c r="X147" s="528">
        <f>SUM(X148:X149)</f>
        <v>0</v>
      </c>
      <c r="Y147" s="459">
        <f t="shared" si="102"/>
        <v>0</v>
      </c>
      <c r="Z147" s="459">
        <f>SUM(Z148:Z149)</f>
        <v>0</v>
      </c>
      <c r="AA147" s="459">
        <f>SUM(AA148:AA149)</f>
        <v>0</v>
      </c>
      <c r="AB147" s="459">
        <f>SUM(AB148:AB149)</f>
        <v>0</v>
      </c>
      <c r="AC147" s="459">
        <f t="shared" si="103"/>
        <v>0</v>
      </c>
      <c r="AD147" s="459">
        <f>SUM(AD148:AD149)</f>
        <v>0</v>
      </c>
      <c r="AE147" s="459">
        <f>SUM(AE148:AE149)</f>
        <v>0</v>
      </c>
      <c r="AF147" s="459">
        <f>SUM(AF148:AF149)</f>
        <v>0</v>
      </c>
      <c r="AG147" s="513">
        <f t="shared" si="104"/>
        <v>63086</v>
      </c>
      <c r="AH147" s="520"/>
      <c r="AI147" s="520"/>
      <c r="AJ147" s="520"/>
      <c r="AK147" s="520"/>
      <c r="AL147" s="514"/>
      <c r="AM147" s="514"/>
      <c r="AN147" s="513"/>
      <c r="AO147" s="450"/>
      <c r="AP147" s="442"/>
      <c r="AQ147" s="442"/>
      <c r="AR147" s="442"/>
      <c r="AS147" s="442"/>
      <c r="AT147" s="442"/>
      <c r="AU147" s="446"/>
    </row>
    <row r="148" spans="1:47" s="424" customFormat="1">
      <c r="A148" s="432" t="s">
        <v>433</v>
      </c>
      <c r="B148" s="435" t="s">
        <v>446</v>
      </c>
      <c r="C148" s="545">
        <f t="shared" si="101"/>
        <v>0</v>
      </c>
      <c r="D148" s="435"/>
      <c r="E148" s="435"/>
      <c r="F148" s="435"/>
      <c r="G148" s="435"/>
      <c r="H148" s="435"/>
      <c r="I148" s="435"/>
      <c r="J148" s="435"/>
      <c r="K148" s="459">
        <f t="shared" si="108"/>
        <v>1690</v>
      </c>
      <c r="L148" s="461">
        <f t="shared" ref="L148:L193" si="109">M148+N148</f>
        <v>1690</v>
      </c>
      <c r="M148" s="459">
        <f t="shared" ref="M148:N150" si="110">P148+S148</f>
        <v>0</v>
      </c>
      <c r="N148" s="459">
        <f t="shared" si="110"/>
        <v>1690</v>
      </c>
      <c r="O148" s="459">
        <f>P148+Q148</f>
        <v>1690</v>
      </c>
      <c r="P148" s="459"/>
      <c r="Q148" s="459">
        <v>1690</v>
      </c>
      <c r="R148" s="459">
        <f t="shared" si="79"/>
        <v>0</v>
      </c>
      <c r="S148" s="459"/>
      <c r="T148" s="459"/>
      <c r="U148" s="459">
        <f t="shared" si="91"/>
        <v>0</v>
      </c>
      <c r="V148" s="459"/>
      <c r="W148" s="459"/>
      <c r="X148" s="525"/>
      <c r="Y148" s="459">
        <f t="shared" si="102"/>
        <v>0</v>
      </c>
      <c r="Z148" s="459"/>
      <c r="AA148" s="459"/>
      <c r="AB148" s="459"/>
      <c r="AC148" s="459">
        <f t="shared" si="103"/>
        <v>0</v>
      </c>
      <c r="AD148" s="459"/>
      <c r="AE148" s="459"/>
      <c r="AF148" s="459"/>
      <c r="AG148" s="513">
        <f t="shared" si="104"/>
        <v>1690</v>
      </c>
      <c r="AH148" s="520"/>
      <c r="AI148" s="520"/>
      <c r="AJ148" s="520"/>
      <c r="AK148" s="520"/>
      <c r="AL148" s="514"/>
      <c r="AM148" s="514"/>
      <c r="AN148" s="513"/>
      <c r="AO148" s="450"/>
      <c r="AP148" s="442"/>
      <c r="AQ148" s="442"/>
      <c r="AR148" s="442"/>
      <c r="AS148" s="442"/>
      <c r="AT148" s="442"/>
      <c r="AU148" s="446"/>
    </row>
    <row r="149" spans="1:47" s="424" customFormat="1">
      <c r="A149" s="432" t="s">
        <v>433</v>
      </c>
      <c r="B149" s="435" t="s">
        <v>402</v>
      </c>
      <c r="C149" s="545">
        <f t="shared" si="101"/>
        <v>0</v>
      </c>
      <c r="D149" s="435"/>
      <c r="E149" s="435"/>
      <c r="F149" s="435"/>
      <c r="G149" s="435"/>
      <c r="H149" s="435"/>
      <c r="I149" s="435"/>
      <c r="J149" s="435"/>
      <c r="K149" s="459">
        <f t="shared" si="108"/>
        <v>61396</v>
      </c>
      <c r="L149" s="461">
        <f t="shared" si="109"/>
        <v>61396</v>
      </c>
      <c r="M149" s="459">
        <f t="shared" si="110"/>
        <v>0</v>
      </c>
      <c r="N149" s="459">
        <f t="shared" si="110"/>
        <v>61396</v>
      </c>
      <c r="O149" s="459">
        <f t="shared" si="90"/>
        <v>61396</v>
      </c>
      <c r="P149" s="459"/>
      <c r="Q149" s="459">
        <f>55863-3000+2500-267+6300</f>
        <v>61396</v>
      </c>
      <c r="R149" s="459">
        <f t="shared" si="79"/>
        <v>0</v>
      </c>
      <c r="S149" s="459"/>
      <c r="T149" s="459"/>
      <c r="U149" s="459">
        <f t="shared" si="91"/>
        <v>0</v>
      </c>
      <c r="V149" s="459"/>
      <c r="W149" s="459"/>
      <c r="X149" s="525"/>
      <c r="Y149" s="459">
        <f t="shared" si="102"/>
        <v>0</v>
      </c>
      <c r="Z149" s="459"/>
      <c r="AA149" s="459"/>
      <c r="AB149" s="459"/>
      <c r="AC149" s="459">
        <f t="shared" si="103"/>
        <v>0</v>
      </c>
      <c r="AD149" s="459"/>
      <c r="AE149" s="459"/>
      <c r="AF149" s="459"/>
      <c r="AG149" s="513">
        <f t="shared" si="104"/>
        <v>61396</v>
      </c>
      <c r="AH149" s="520"/>
      <c r="AI149" s="520"/>
      <c r="AJ149" s="520"/>
      <c r="AK149" s="520"/>
      <c r="AL149" s="514"/>
      <c r="AM149" s="514"/>
      <c r="AN149" s="513"/>
      <c r="AO149" s="450"/>
      <c r="AP149" s="442"/>
      <c r="AQ149" s="442"/>
      <c r="AR149" s="442"/>
      <c r="AS149" s="442"/>
      <c r="AT149" s="442"/>
      <c r="AU149" s="446"/>
    </row>
    <row r="150" spans="1:47" ht="18" customHeight="1">
      <c r="A150" s="431"/>
      <c r="B150" s="435" t="s">
        <v>447</v>
      </c>
      <c r="C150" s="545">
        <f t="shared" si="101"/>
        <v>0</v>
      </c>
      <c r="D150" s="435"/>
      <c r="E150" s="435"/>
      <c r="F150" s="435"/>
      <c r="G150" s="435"/>
      <c r="H150" s="435"/>
      <c r="I150" s="435"/>
      <c r="J150" s="435"/>
      <c r="K150" s="461">
        <f t="shared" si="108"/>
        <v>6139.6</v>
      </c>
      <c r="L150" s="461">
        <f t="shared" si="109"/>
        <v>6139.6</v>
      </c>
      <c r="M150" s="459">
        <f t="shared" si="110"/>
        <v>0</v>
      </c>
      <c r="N150" s="459">
        <f t="shared" si="110"/>
        <v>6139.6</v>
      </c>
      <c r="O150" s="461">
        <f t="shared" si="90"/>
        <v>6139.6</v>
      </c>
      <c r="P150" s="461"/>
      <c r="Q150" s="461">
        <f>Q149*10%</f>
        <v>6139.6</v>
      </c>
      <c r="R150" s="461">
        <f t="shared" si="79"/>
        <v>0</v>
      </c>
      <c r="S150" s="461"/>
      <c r="T150" s="461"/>
      <c r="U150" s="461">
        <f t="shared" si="91"/>
        <v>0</v>
      </c>
      <c r="V150" s="461"/>
      <c r="W150" s="461"/>
      <c r="X150" s="526">
        <f>'BTC-Chinh thuc'!L161</f>
        <v>0</v>
      </c>
      <c r="Y150" s="461">
        <f t="shared" si="102"/>
        <v>0</v>
      </c>
      <c r="Z150" s="461"/>
      <c r="AA150" s="461"/>
      <c r="AB150" s="461"/>
      <c r="AC150" s="461">
        <f t="shared" si="103"/>
        <v>0</v>
      </c>
      <c r="AD150" s="461"/>
      <c r="AE150" s="461"/>
      <c r="AF150" s="461"/>
      <c r="AG150" s="513">
        <f t="shared" si="104"/>
        <v>6139.6</v>
      </c>
      <c r="AH150" s="513"/>
      <c r="AI150" s="513"/>
      <c r="AJ150" s="513"/>
      <c r="AK150" s="513"/>
      <c r="AL150" s="514"/>
      <c r="AM150" s="514"/>
      <c r="AN150" s="513"/>
      <c r="AO150" s="451"/>
    </row>
    <row r="151" spans="1:47" s="434" customFormat="1">
      <c r="A151" s="428">
        <v>12</v>
      </c>
      <c r="B151" s="433" t="s">
        <v>395</v>
      </c>
      <c r="C151" s="545">
        <f t="shared" si="101"/>
        <v>0</v>
      </c>
      <c r="D151" s="433">
        <f>D152+D155</f>
        <v>0</v>
      </c>
      <c r="E151" s="433">
        <f t="shared" ref="E151:J151" si="111">E152+E155</f>
        <v>0</v>
      </c>
      <c r="F151" s="433">
        <f t="shared" si="111"/>
        <v>0</v>
      </c>
      <c r="G151" s="433">
        <f t="shared" ref="G151" si="112">G152+G155</f>
        <v>0</v>
      </c>
      <c r="H151" s="433">
        <f t="shared" ref="H151" si="113">H152+H155</f>
        <v>0</v>
      </c>
      <c r="I151" s="433">
        <f t="shared" si="111"/>
        <v>0</v>
      </c>
      <c r="J151" s="433">
        <f t="shared" si="111"/>
        <v>0</v>
      </c>
      <c r="K151" s="458">
        <f>L151+U151+X151</f>
        <v>2092707</v>
      </c>
      <c r="L151" s="458">
        <f>M151+N151</f>
        <v>577804</v>
      </c>
      <c r="M151" s="458">
        <f>M152+M155</f>
        <v>416604</v>
      </c>
      <c r="N151" s="458">
        <f>N152+N155</f>
        <v>161200</v>
      </c>
      <c r="O151" s="458">
        <f>P151+Q151</f>
        <v>577804</v>
      </c>
      <c r="P151" s="458">
        <f>P152+P155</f>
        <v>416604</v>
      </c>
      <c r="Q151" s="458">
        <f>Q152+Q155</f>
        <v>161200</v>
      </c>
      <c r="R151" s="458">
        <f t="shared" si="79"/>
        <v>0</v>
      </c>
      <c r="S151" s="458">
        <f t="shared" ref="S151:X151" si="114">S152+S155</f>
        <v>0</v>
      </c>
      <c r="T151" s="458">
        <f t="shared" si="114"/>
        <v>0</v>
      </c>
      <c r="U151" s="458">
        <f>U152+U155</f>
        <v>1514903</v>
      </c>
      <c r="V151" s="458">
        <f>V152+V155</f>
        <v>1514903</v>
      </c>
      <c r="W151" s="458">
        <f t="shared" si="114"/>
        <v>0</v>
      </c>
      <c r="X151" s="522">
        <f t="shared" si="114"/>
        <v>0</v>
      </c>
      <c r="Y151" s="458">
        <f t="shared" si="102"/>
        <v>0</v>
      </c>
      <c r="Z151" s="458">
        <f t="shared" ref="Z151:AB151" si="115">Z152+Z155</f>
        <v>0</v>
      </c>
      <c r="AA151" s="458">
        <f t="shared" ref="AA151" si="116">AA152+AA155</f>
        <v>0</v>
      </c>
      <c r="AB151" s="458">
        <f t="shared" si="115"/>
        <v>0</v>
      </c>
      <c r="AC151" s="458">
        <f t="shared" si="103"/>
        <v>0</v>
      </c>
      <c r="AD151" s="458">
        <f t="shared" ref="AD151:AF151" si="117">AD152+AD155</f>
        <v>0</v>
      </c>
      <c r="AE151" s="458">
        <f t="shared" ref="AE151" si="118">AE152+AE155</f>
        <v>0</v>
      </c>
      <c r="AF151" s="458">
        <f t="shared" si="117"/>
        <v>0</v>
      </c>
      <c r="AG151" s="513">
        <f t="shared" si="104"/>
        <v>2092707</v>
      </c>
      <c r="AH151" s="512"/>
      <c r="AI151" s="512"/>
      <c r="AJ151" s="512"/>
      <c r="AK151" s="512"/>
      <c r="AL151" s="514"/>
      <c r="AM151" s="514"/>
      <c r="AN151" s="513"/>
      <c r="AO151" s="449">
        <v>2085122</v>
      </c>
      <c r="AP151" s="441">
        <f>AO151-K151</f>
        <v>-7585</v>
      </c>
      <c r="AQ151" s="441">
        <f>AR151+AS151</f>
        <v>0</v>
      </c>
      <c r="AR151" s="441"/>
      <c r="AS151" s="441"/>
      <c r="AT151" s="441"/>
      <c r="AU151" s="445"/>
    </row>
    <row r="152" spans="1:47">
      <c r="A152" s="431" t="s">
        <v>129</v>
      </c>
      <c r="B152" s="436" t="s">
        <v>401</v>
      </c>
      <c r="C152" s="545">
        <f t="shared" si="101"/>
        <v>0</v>
      </c>
      <c r="D152" s="436"/>
      <c r="E152" s="436"/>
      <c r="F152" s="436"/>
      <c r="G152" s="436"/>
      <c r="H152" s="436"/>
      <c r="I152" s="436"/>
      <c r="J152" s="436"/>
      <c r="K152" s="461">
        <f t="shared" si="108"/>
        <v>1931507</v>
      </c>
      <c r="L152" s="461">
        <f t="shared" si="109"/>
        <v>416604</v>
      </c>
      <c r="M152" s="461">
        <f>M153+M154</f>
        <v>416604</v>
      </c>
      <c r="N152" s="461">
        <f>N153+N154</f>
        <v>0</v>
      </c>
      <c r="O152" s="461">
        <f>P152+Q152</f>
        <v>416604</v>
      </c>
      <c r="P152" s="461">
        <f>P153+P154</f>
        <v>416604</v>
      </c>
      <c r="Q152" s="461">
        <f>Q153+Q154</f>
        <v>0</v>
      </c>
      <c r="R152" s="461">
        <f t="shared" si="79"/>
        <v>0</v>
      </c>
      <c r="S152" s="461"/>
      <c r="T152" s="461"/>
      <c r="U152" s="461">
        <f>V152+W152</f>
        <v>1514903</v>
      </c>
      <c r="V152" s="461">
        <f>V153+V154</f>
        <v>1514903</v>
      </c>
      <c r="W152" s="461">
        <f>W153+W154</f>
        <v>0</v>
      </c>
      <c r="X152" s="523">
        <f>X153+X154</f>
        <v>0</v>
      </c>
      <c r="Y152" s="461">
        <f t="shared" si="102"/>
        <v>0</v>
      </c>
      <c r="Z152" s="461"/>
      <c r="AA152" s="461"/>
      <c r="AB152" s="461"/>
      <c r="AC152" s="461">
        <f t="shared" si="103"/>
        <v>0</v>
      </c>
      <c r="AD152" s="461"/>
      <c r="AE152" s="461"/>
      <c r="AF152" s="461"/>
      <c r="AG152" s="513">
        <f t="shared" si="104"/>
        <v>1931507</v>
      </c>
      <c r="AH152" s="513"/>
      <c r="AI152" s="513"/>
      <c r="AJ152" s="513"/>
      <c r="AK152" s="513"/>
      <c r="AL152" s="514"/>
      <c r="AM152" s="514"/>
      <c r="AN152" s="513"/>
      <c r="AO152" s="451"/>
      <c r="AQ152" s="440">
        <f>AR152+AS152</f>
        <v>0</v>
      </c>
    </row>
    <row r="153" spans="1:47" s="424" customFormat="1">
      <c r="A153" s="432" t="s">
        <v>433</v>
      </c>
      <c r="B153" s="435" t="s">
        <v>37</v>
      </c>
      <c r="C153" s="545">
        <f t="shared" si="101"/>
        <v>0</v>
      </c>
      <c r="D153" s="435"/>
      <c r="E153" s="435"/>
      <c r="F153" s="435"/>
      <c r="G153" s="435"/>
      <c r="H153" s="435"/>
      <c r="I153" s="435"/>
      <c r="J153" s="435"/>
      <c r="K153" s="459">
        <f t="shared" si="108"/>
        <v>1829845</v>
      </c>
      <c r="L153" s="461">
        <f t="shared" si="109"/>
        <v>334454</v>
      </c>
      <c r="M153" s="459">
        <f>P153+S153</f>
        <v>334454</v>
      </c>
      <c r="N153" s="459">
        <f>Q153+T153</f>
        <v>0</v>
      </c>
      <c r="O153" s="459">
        <f t="shared" si="90"/>
        <v>334454</v>
      </c>
      <c r="P153" s="459">
        <f>259847+74036+171+400</f>
        <v>334454</v>
      </c>
      <c r="Q153" s="459"/>
      <c r="R153" s="459">
        <f t="shared" si="79"/>
        <v>0</v>
      </c>
      <c r="S153" s="459"/>
      <c r="T153" s="459"/>
      <c r="U153" s="459">
        <f t="shared" si="91"/>
        <v>1495391</v>
      </c>
      <c r="V153" s="459">
        <f>505183+990208</f>
        <v>1495391</v>
      </c>
      <c r="W153" s="459"/>
      <c r="X153" s="525"/>
      <c r="Y153" s="459">
        <f t="shared" si="102"/>
        <v>0</v>
      </c>
      <c r="Z153" s="459"/>
      <c r="AA153" s="459"/>
      <c r="AB153" s="459"/>
      <c r="AC153" s="459">
        <f t="shared" si="103"/>
        <v>0</v>
      </c>
      <c r="AD153" s="459"/>
      <c r="AE153" s="459"/>
      <c r="AF153" s="459"/>
      <c r="AG153" s="513">
        <f t="shared" si="104"/>
        <v>1829845</v>
      </c>
      <c r="AH153" s="520"/>
      <c r="AI153" s="520"/>
      <c r="AJ153" s="520"/>
      <c r="AK153" s="520"/>
      <c r="AL153" s="514">
        <f>504164+990208</f>
        <v>1494372</v>
      </c>
      <c r="AM153" s="514"/>
      <c r="AN153" s="513"/>
      <c r="AO153" s="450"/>
      <c r="AP153" s="442"/>
      <c r="AQ153" s="442"/>
      <c r="AR153" s="442"/>
      <c r="AS153" s="442"/>
      <c r="AT153" s="442"/>
      <c r="AU153" s="446"/>
    </row>
    <row r="154" spans="1:47" s="424" customFormat="1">
      <c r="A154" s="432" t="s">
        <v>433</v>
      </c>
      <c r="B154" s="435" t="s">
        <v>437</v>
      </c>
      <c r="C154" s="545">
        <f t="shared" si="101"/>
        <v>0</v>
      </c>
      <c r="D154" s="435"/>
      <c r="E154" s="435"/>
      <c r="F154" s="435"/>
      <c r="G154" s="435"/>
      <c r="H154" s="435"/>
      <c r="I154" s="435"/>
      <c r="J154" s="435"/>
      <c r="K154" s="459">
        <f t="shared" si="108"/>
        <v>101662</v>
      </c>
      <c r="L154" s="461">
        <f t="shared" si="109"/>
        <v>82150</v>
      </c>
      <c r="M154" s="459">
        <f>P154+S154</f>
        <v>82150</v>
      </c>
      <c r="N154" s="459">
        <f>Q154+T154</f>
        <v>0</v>
      </c>
      <c r="O154" s="459">
        <f t="shared" si="90"/>
        <v>82150</v>
      </c>
      <c r="P154" s="459">
        <f>4157+77993</f>
        <v>82150</v>
      </c>
      <c r="Q154" s="459"/>
      <c r="R154" s="459">
        <f t="shared" si="79"/>
        <v>0</v>
      </c>
      <c r="S154" s="459"/>
      <c r="T154" s="459"/>
      <c r="U154" s="459">
        <f t="shared" si="91"/>
        <v>19512</v>
      </c>
      <c r="V154" s="459">
        <v>19512</v>
      </c>
      <c r="W154" s="459"/>
      <c r="X154" s="525"/>
      <c r="Y154" s="459">
        <f t="shared" si="102"/>
        <v>0</v>
      </c>
      <c r="Z154" s="459"/>
      <c r="AA154" s="459"/>
      <c r="AB154" s="459"/>
      <c r="AC154" s="459">
        <f t="shared" si="103"/>
        <v>0</v>
      </c>
      <c r="AD154" s="459"/>
      <c r="AE154" s="459"/>
      <c r="AF154" s="459"/>
      <c r="AG154" s="513">
        <f t="shared" si="104"/>
        <v>101662</v>
      </c>
      <c r="AH154" s="520"/>
      <c r="AI154" s="520"/>
      <c r="AJ154" s="520"/>
      <c r="AK154" s="520"/>
      <c r="AL154" s="514">
        <f>AL153-V153</f>
        <v>-1019</v>
      </c>
      <c r="AM154" s="514"/>
      <c r="AN154" s="513"/>
      <c r="AO154" s="450"/>
      <c r="AP154" s="442"/>
      <c r="AQ154" s="442"/>
      <c r="AR154" s="442"/>
      <c r="AS154" s="442"/>
      <c r="AT154" s="442"/>
      <c r="AU154" s="446"/>
    </row>
    <row r="155" spans="1:47">
      <c r="A155" s="431" t="s">
        <v>130</v>
      </c>
      <c r="B155" s="480" t="s">
        <v>402</v>
      </c>
      <c r="C155" s="545">
        <f t="shared" si="101"/>
        <v>0</v>
      </c>
      <c r="D155" s="480"/>
      <c r="E155" s="480"/>
      <c r="F155" s="480"/>
      <c r="G155" s="480"/>
      <c r="H155" s="480"/>
      <c r="I155" s="480"/>
      <c r="J155" s="480"/>
      <c r="K155" s="461">
        <f>L155+U155+X155</f>
        <v>161200</v>
      </c>
      <c r="L155" s="461">
        <f>M155+N155</f>
        <v>161200</v>
      </c>
      <c r="M155" s="461">
        <f>M156+M157+M159+M160+M158</f>
        <v>0</v>
      </c>
      <c r="N155" s="461">
        <f>N156+N157+N159+N160+N158</f>
        <v>161200</v>
      </c>
      <c r="O155" s="461">
        <f>P155+Q155</f>
        <v>161200</v>
      </c>
      <c r="P155" s="461">
        <f>SUM(P156:P160)</f>
        <v>0</v>
      </c>
      <c r="Q155" s="461">
        <f>SUM(Q156:Q160)</f>
        <v>161200</v>
      </c>
      <c r="R155" s="461">
        <f>S155+T155</f>
        <v>0</v>
      </c>
      <c r="S155" s="461">
        <f>SUM(S156:S160)</f>
        <v>0</v>
      </c>
      <c r="T155" s="461">
        <f>SUM(T156:T160)</f>
        <v>0</v>
      </c>
      <c r="U155" s="461">
        <f>SUM(U156:U160)</f>
        <v>0</v>
      </c>
      <c r="V155" s="461">
        <f>SUM(V156:V160)</f>
        <v>0</v>
      </c>
      <c r="W155" s="461">
        <f>SUM(W156:W160)</f>
        <v>0</v>
      </c>
      <c r="X155" s="523"/>
      <c r="Y155" s="461">
        <f t="shared" si="102"/>
        <v>0</v>
      </c>
      <c r="Z155" s="461">
        <f>SUM(Z156:Z160)</f>
        <v>0</v>
      </c>
      <c r="AA155" s="461">
        <f>SUM(AA156:AA160)</f>
        <v>0</v>
      </c>
      <c r="AB155" s="461">
        <f>SUM(AB156:AB160)</f>
        <v>0</v>
      </c>
      <c r="AC155" s="461">
        <f t="shared" si="103"/>
        <v>0</v>
      </c>
      <c r="AD155" s="461">
        <f>SUM(AD156:AD160)</f>
        <v>0</v>
      </c>
      <c r="AE155" s="461">
        <f>SUM(AE156:AE160)</f>
        <v>0</v>
      </c>
      <c r="AF155" s="461">
        <f>SUM(AF156:AF160)</f>
        <v>0</v>
      </c>
      <c r="AG155" s="513">
        <f t="shared" si="104"/>
        <v>161200</v>
      </c>
      <c r="AH155" s="513"/>
      <c r="AI155" s="513"/>
      <c r="AJ155" s="513"/>
      <c r="AK155" s="513"/>
      <c r="AL155" s="514"/>
      <c r="AM155" s="514"/>
      <c r="AN155" s="513"/>
      <c r="AO155" s="451"/>
    </row>
    <row r="156" spans="1:47">
      <c r="A156" s="431" t="s">
        <v>433</v>
      </c>
      <c r="B156" s="435" t="s">
        <v>446</v>
      </c>
      <c r="C156" s="545">
        <f t="shared" si="101"/>
        <v>0</v>
      </c>
      <c r="D156" s="435"/>
      <c r="E156" s="435"/>
      <c r="F156" s="435"/>
      <c r="G156" s="435"/>
      <c r="H156" s="435"/>
      <c r="I156" s="435"/>
      <c r="J156" s="435"/>
      <c r="K156" s="461">
        <f t="shared" si="108"/>
        <v>7799</v>
      </c>
      <c r="L156" s="461">
        <f t="shared" si="109"/>
        <v>7799</v>
      </c>
      <c r="M156" s="459">
        <f t="shared" ref="M156:N161" si="119">P156+S156</f>
        <v>0</v>
      </c>
      <c r="N156" s="459">
        <f t="shared" si="119"/>
        <v>7799</v>
      </c>
      <c r="O156" s="461">
        <f t="shared" si="90"/>
        <v>7799</v>
      </c>
      <c r="P156" s="461"/>
      <c r="Q156" s="461">
        <v>7799</v>
      </c>
      <c r="R156" s="461">
        <f t="shared" si="79"/>
        <v>0</v>
      </c>
      <c r="S156" s="461"/>
      <c r="T156" s="461"/>
      <c r="U156" s="461">
        <f>V156+W156</f>
        <v>0</v>
      </c>
      <c r="V156" s="461"/>
      <c r="W156" s="461"/>
      <c r="X156" s="526"/>
      <c r="Y156" s="461">
        <f t="shared" si="102"/>
        <v>0</v>
      </c>
      <c r="Z156" s="461"/>
      <c r="AA156" s="461"/>
      <c r="AB156" s="461"/>
      <c r="AC156" s="461">
        <f t="shared" si="103"/>
        <v>0</v>
      </c>
      <c r="AD156" s="461"/>
      <c r="AE156" s="461"/>
      <c r="AF156" s="461"/>
      <c r="AG156" s="513">
        <f t="shared" si="104"/>
        <v>7799</v>
      </c>
      <c r="AH156" s="513"/>
      <c r="AI156" s="513"/>
      <c r="AJ156" s="513"/>
      <c r="AK156" s="513"/>
      <c r="AL156" s="514"/>
      <c r="AM156" s="514"/>
      <c r="AN156" s="513"/>
      <c r="AO156" s="451"/>
      <c r="AQ156" s="440">
        <f>AR156+AS156</f>
        <v>0</v>
      </c>
    </row>
    <row r="157" spans="1:47" ht="31.5">
      <c r="A157" s="431" t="s">
        <v>433</v>
      </c>
      <c r="B157" s="435" t="s">
        <v>469</v>
      </c>
      <c r="C157" s="545">
        <f t="shared" si="101"/>
        <v>0</v>
      </c>
      <c r="D157" s="435"/>
      <c r="E157" s="435"/>
      <c r="F157" s="435"/>
      <c r="G157" s="435"/>
      <c r="H157" s="435"/>
      <c r="I157" s="435"/>
      <c r="J157" s="435"/>
      <c r="K157" s="459">
        <f t="shared" si="108"/>
        <v>67000</v>
      </c>
      <c r="L157" s="461">
        <f t="shared" si="109"/>
        <v>67000</v>
      </c>
      <c r="M157" s="459">
        <f t="shared" si="119"/>
        <v>0</v>
      </c>
      <c r="N157" s="459">
        <f t="shared" si="119"/>
        <v>67000</v>
      </c>
      <c r="O157" s="459">
        <f>P157+Q157</f>
        <v>67000</v>
      </c>
      <c r="P157" s="461"/>
      <c r="Q157" s="461">
        <f>67000</f>
        <v>67000</v>
      </c>
      <c r="R157" s="461">
        <f t="shared" si="79"/>
        <v>0</v>
      </c>
      <c r="S157" s="461"/>
      <c r="T157" s="461"/>
      <c r="U157" s="461"/>
      <c r="V157" s="461"/>
      <c r="W157" s="461"/>
      <c r="X157" s="526"/>
      <c r="Y157" s="461">
        <f t="shared" si="102"/>
        <v>0</v>
      </c>
      <c r="Z157" s="461"/>
      <c r="AA157" s="461"/>
      <c r="AB157" s="461"/>
      <c r="AC157" s="461">
        <f t="shared" si="103"/>
        <v>0</v>
      </c>
      <c r="AD157" s="461"/>
      <c r="AE157" s="461"/>
      <c r="AF157" s="461"/>
      <c r="AG157" s="513">
        <f t="shared" si="104"/>
        <v>67000</v>
      </c>
      <c r="AH157" s="513"/>
      <c r="AI157" s="513"/>
      <c r="AJ157" s="513"/>
      <c r="AK157" s="513"/>
      <c r="AL157" s="514"/>
      <c r="AM157" s="514"/>
      <c r="AN157" s="513"/>
      <c r="AO157" s="451"/>
    </row>
    <row r="158" spans="1:47">
      <c r="A158" s="431" t="s">
        <v>433</v>
      </c>
      <c r="B158" s="435" t="s">
        <v>465</v>
      </c>
      <c r="C158" s="545">
        <f t="shared" si="101"/>
        <v>0</v>
      </c>
      <c r="D158" s="435"/>
      <c r="E158" s="435"/>
      <c r="F158" s="435"/>
      <c r="G158" s="435"/>
      <c r="H158" s="435"/>
      <c r="I158" s="435"/>
      <c r="J158" s="435"/>
      <c r="K158" s="459">
        <f>L158+U158+X158</f>
        <v>21870</v>
      </c>
      <c r="L158" s="461">
        <f>M158+N158</f>
        <v>21870</v>
      </c>
      <c r="M158" s="459">
        <f>P158+S158</f>
        <v>0</v>
      </c>
      <c r="N158" s="459">
        <f>Q158+T158</f>
        <v>21870</v>
      </c>
      <c r="O158" s="459">
        <f>P158+Q158</f>
        <v>21870</v>
      </c>
      <c r="P158" s="461"/>
      <c r="Q158" s="461">
        <v>21870</v>
      </c>
      <c r="R158" s="461"/>
      <c r="S158" s="461"/>
      <c r="T158" s="461"/>
      <c r="U158" s="461"/>
      <c r="V158" s="461"/>
      <c r="W158" s="461"/>
      <c r="X158" s="526"/>
      <c r="Y158" s="461">
        <f t="shared" si="102"/>
        <v>0</v>
      </c>
      <c r="Z158" s="461"/>
      <c r="AA158" s="461"/>
      <c r="AB158" s="461"/>
      <c r="AC158" s="461">
        <f t="shared" si="103"/>
        <v>0</v>
      </c>
      <c r="AD158" s="461"/>
      <c r="AE158" s="461"/>
      <c r="AF158" s="461"/>
      <c r="AG158" s="513">
        <f t="shared" si="104"/>
        <v>21870</v>
      </c>
      <c r="AH158" s="513"/>
      <c r="AI158" s="513"/>
      <c r="AJ158" s="513"/>
      <c r="AK158" s="513"/>
      <c r="AL158" s="514"/>
      <c r="AM158" s="514"/>
      <c r="AN158" s="513"/>
      <c r="AO158" s="451"/>
    </row>
    <row r="159" spans="1:47" ht="31.5">
      <c r="A159" s="431" t="s">
        <v>433</v>
      </c>
      <c r="B159" s="435" t="s">
        <v>458</v>
      </c>
      <c r="C159" s="545">
        <f t="shared" si="101"/>
        <v>0</v>
      </c>
      <c r="D159" s="435"/>
      <c r="E159" s="435"/>
      <c r="F159" s="435"/>
      <c r="G159" s="435"/>
      <c r="H159" s="435"/>
      <c r="I159" s="435"/>
      <c r="J159" s="435"/>
      <c r="K159" s="459">
        <f t="shared" si="108"/>
        <v>9000</v>
      </c>
      <c r="L159" s="461">
        <f t="shared" si="109"/>
        <v>9000</v>
      </c>
      <c r="M159" s="459">
        <f t="shared" si="119"/>
        <v>0</v>
      </c>
      <c r="N159" s="459">
        <f t="shared" si="119"/>
        <v>9000</v>
      </c>
      <c r="O159" s="459"/>
      <c r="P159" s="461"/>
      <c r="Q159" s="461">
        <v>9000</v>
      </c>
      <c r="R159" s="461">
        <f t="shared" si="79"/>
        <v>0</v>
      </c>
      <c r="S159" s="461"/>
      <c r="T159" s="461"/>
      <c r="U159" s="461"/>
      <c r="V159" s="461"/>
      <c r="W159" s="461"/>
      <c r="X159" s="526"/>
      <c r="Y159" s="461">
        <f t="shared" si="102"/>
        <v>0</v>
      </c>
      <c r="Z159" s="461"/>
      <c r="AA159" s="461"/>
      <c r="AB159" s="461"/>
      <c r="AC159" s="461">
        <f t="shared" si="103"/>
        <v>0</v>
      </c>
      <c r="AD159" s="461"/>
      <c r="AE159" s="461"/>
      <c r="AF159" s="461"/>
      <c r="AG159" s="513">
        <f t="shared" si="104"/>
        <v>0</v>
      </c>
      <c r="AH159" s="513"/>
      <c r="AI159" s="513"/>
      <c r="AJ159" s="513"/>
      <c r="AK159" s="513"/>
      <c r="AL159" s="514"/>
      <c r="AM159" s="514"/>
      <c r="AN159" s="513"/>
      <c r="AO159" s="451"/>
    </row>
    <row r="160" spans="1:47" s="424" customFormat="1">
      <c r="A160" s="432" t="s">
        <v>433</v>
      </c>
      <c r="B160" s="435" t="s">
        <v>402</v>
      </c>
      <c r="C160" s="545">
        <f t="shared" si="101"/>
        <v>0</v>
      </c>
      <c r="D160" s="435"/>
      <c r="E160" s="435"/>
      <c r="F160" s="435"/>
      <c r="G160" s="435"/>
      <c r="H160" s="435"/>
      <c r="I160" s="435"/>
      <c r="J160" s="435"/>
      <c r="K160" s="459">
        <f>L160+U160+X160</f>
        <v>55531</v>
      </c>
      <c r="L160" s="461">
        <f t="shared" si="109"/>
        <v>55531</v>
      </c>
      <c r="M160" s="459">
        <f t="shared" si="119"/>
        <v>0</v>
      </c>
      <c r="N160" s="459">
        <f t="shared" si="119"/>
        <v>55531</v>
      </c>
      <c r="O160" s="459">
        <f t="shared" si="90"/>
        <v>55531</v>
      </c>
      <c r="P160" s="459"/>
      <c r="Q160" s="459">
        <f>67000-5184-9+5719-1900+8000-30-8000-1979-17-5-31174-1070-4747+29300+198-171-400</f>
        <v>55531</v>
      </c>
      <c r="R160" s="459">
        <f t="shared" si="79"/>
        <v>0</v>
      </c>
      <c r="S160" s="459"/>
      <c r="T160" s="459"/>
      <c r="U160" s="461">
        <f>V160+W160</f>
        <v>0</v>
      </c>
      <c r="V160" s="459"/>
      <c r="W160" s="459"/>
      <c r="X160" s="525"/>
      <c r="Y160" s="459">
        <f t="shared" si="102"/>
        <v>0</v>
      </c>
      <c r="Z160" s="459"/>
      <c r="AA160" s="459"/>
      <c r="AB160" s="459"/>
      <c r="AC160" s="459">
        <f t="shared" si="103"/>
        <v>0</v>
      </c>
      <c r="AD160" s="459"/>
      <c r="AE160" s="459"/>
      <c r="AF160" s="459"/>
      <c r="AG160" s="513">
        <f t="shared" si="104"/>
        <v>55531</v>
      </c>
      <c r="AH160" s="520"/>
      <c r="AI160" s="520"/>
      <c r="AJ160" s="520"/>
      <c r="AK160" s="520"/>
      <c r="AL160" s="514"/>
      <c r="AM160" s="514"/>
      <c r="AN160" s="513"/>
      <c r="AO160" s="450"/>
      <c r="AP160" s="442"/>
      <c r="AQ160" s="442"/>
      <c r="AR160" s="442"/>
      <c r="AS160" s="442"/>
      <c r="AT160" s="442"/>
      <c r="AU160" s="446"/>
    </row>
    <row r="161" spans="1:47" s="424" customFormat="1">
      <c r="A161" s="432"/>
      <c r="B161" s="435" t="s">
        <v>459</v>
      </c>
      <c r="C161" s="545">
        <f t="shared" si="101"/>
        <v>0</v>
      </c>
      <c r="D161" s="435"/>
      <c r="E161" s="435"/>
      <c r="F161" s="435"/>
      <c r="G161" s="435"/>
      <c r="H161" s="435"/>
      <c r="I161" s="435"/>
      <c r="J161" s="435"/>
      <c r="K161" s="459">
        <f t="shared" si="108"/>
        <v>5553.1</v>
      </c>
      <c r="L161" s="461">
        <f t="shared" si="109"/>
        <v>5553.1</v>
      </c>
      <c r="M161" s="459">
        <f t="shared" si="119"/>
        <v>0</v>
      </c>
      <c r="N161" s="459">
        <f t="shared" si="119"/>
        <v>5553.1</v>
      </c>
      <c r="O161" s="459">
        <f t="shared" si="90"/>
        <v>5553.1</v>
      </c>
      <c r="P161" s="459"/>
      <c r="Q161" s="459">
        <f>Q160*10%</f>
        <v>5553.1</v>
      </c>
      <c r="R161" s="459">
        <f t="shared" si="79"/>
        <v>0</v>
      </c>
      <c r="S161" s="459"/>
      <c r="T161" s="459"/>
      <c r="U161" s="459">
        <f t="shared" si="91"/>
        <v>0</v>
      </c>
      <c r="V161" s="459"/>
      <c r="W161" s="459"/>
      <c r="X161" s="528">
        <f>X160*10%</f>
        <v>0</v>
      </c>
      <c r="Y161" s="459">
        <f t="shared" si="102"/>
        <v>0</v>
      </c>
      <c r="Z161" s="459"/>
      <c r="AA161" s="459"/>
      <c r="AB161" s="459"/>
      <c r="AC161" s="459">
        <f t="shared" si="103"/>
        <v>0</v>
      </c>
      <c r="AD161" s="459"/>
      <c r="AE161" s="459"/>
      <c r="AF161" s="459"/>
      <c r="AG161" s="513">
        <f t="shared" si="104"/>
        <v>5553.1</v>
      </c>
      <c r="AH161" s="520"/>
      <c r="AI161" s="520"/>
      <c r="AJ161" s="520"/>
      <c r="AK161" s="520"/>
      <c r="AL161" s="514"/>
      <c r="AM161" s="514"/>
      <c r="AN161" s="513"/>
      <c r="AO161" s="450"/>
      <c r="AP161" s="442"/>
      <c r="AQ161" s="442"/>
      <c r="AR161" s="442"/>
      <c r="AS161" s="442"/>
      <c r="AT161" s="442"/>
      <c r="AU161" s="446"/>
    </row>
    <row r="162" spans="1:47" s="434" customFormat="1" ht="19.5" customHeight="1">
      <c r="A162" s="428">
        <v>13</v>
      </c>
      <c r="B162" s="433" t="s">
        <v>396</v>
      </c>
      <c r="C162" s="545">
        <f t="shared" si="101"/>
        <v>0</v>
      </c>
      <c r="D162" s="433"/>
      <c r="E162" s="433"/>
      <c r="F162" s="433"/>
      <c r="G162" s="433"/>
      <c r="H162" s="433"/>
      <c r="I162" s="433"/>
      <c r="J162" s="433"/>
      <c r="K162" s="458">
        <f t="shared" si="108"/>
        <v>0</v>
      </c>
      <c r="L162" s="461">
        <f t="shared" si="109"/>
        <v>0</v>
      </c>
      <c r="M162" s="458"/>
      <c r="N162" s="458"/>
      <c r="O162" s="458">
        <f t="shared" si="90"/>
        <v>0</v>
      </c>
      <c r="P162" s="458"/>
      <c r="Q162" s="458"/>
      <c r="R162" s="458">
        <f t="shared" si="79"/>
        <v>0</v>
      </c>
      <c r="S162" s="458"/>
      <c r="T162" s="458"/>
      <c r="U162" s="458">
        <f>V162+W162</f>
        <v>0</v>
      </c>
      <c r="V162" s="458"/>
      <c r="W162" s="458"/>
      <c r="X162" s="533"/>
      <c r="Y162" s="458">
        <f t="shared" si="102"/>
        <v>0</v>
      </c>
      <c r="Z162" s="458"/>
      <c r="AA162" s="458"/>
      <c r="AB162" s="458"/>
      <c r="AC162" s="458">
        <f t="shared" si="103"/>
        <v>0</v>
      </c>
      <c r="AD162" s="458"/>
      <c r="AE162" s="458"/>
      <c r="AF162" s="458"/>
      <c r="AG162" s="513">
        <f t="shared" si="104"/>
        <v>0</v>
      </c>
      <c r="AH162" s="512"/>
      <c r="AI162" s="512"/>
      <c r="AJ162" s="512"/>
      <c r="AK162" s="512"/>
      <c r="AL162" s="514"/>
      <c r="AM162" s="514"/>
      <c r="AN162" s="513"/>
      <c r="AO162" s="449"/>
      <c r="AP162" s="441"/>
      <c r="AQ162" s="441">
        <f>AR162+AS162</f>
        <v>0</v>
      </c>
      <c r="AR162" s="441"/>
      <c r="AS162" s="441"/>
      <c r="AT162" s="441"/>
      <c r="AU162" s="445"/>
    </row>
    <row r="163" spans="1:47" s="434" customFormat="1" ht="19.5" customHeight="1">
      <c r="A163" s="428">
        <v>14</v>
      </c>
      <c r="B163" s="433" t="s">
        <v>397</v>
      </c>
      <c r="C163" s="545">
        <f t="shared" si="101"/>
        <v>0</v>
      </c>
      <c r="D163" s="433">
        <f>D164+D167</f>
        <v>0</v>
      </c>
      <c r="E163" s="433">
        <f t="shared" ref="E163:J163" si="120">E164+E167</f>
        <v>0</v>
      </c>
      <c r="F163" s="433">
        <f t="shared" si="120"/>
        <v>0</v>
      </c>
      <c r="G163" s="433">
        <f t="shared" ref="G163" si="121">G164+G167</f>
        <v>0</v>
      </c>
      <c r="H163" s="433">
        <f t="shared" ref="H163" si="122">H164+H167</f>
        <v>0</v>
      </c>
      <c r="I163" s="433">
        <f t="shared" si="120"/>
        <v>0</v>
      </c>
      <c r="J163" s="433">
        <f t="shared" si="120"/>
        <v>0</v>
      </c>
      <c r="K163" s="458">
        <f t="shared" si="108"/>
        <v>63456</v>
      </c>
      <c r="L163" s="458">
        <f t="shared" si="109"/>
        <v>40222</v>
      </c>
      <c r="M163" s="458">
        <f>M164+M167</f>
        <v>15765</v>
      </c>
      <c r="N163" s="458">
        <f>N164+N167</f>
        <v>24457</v>
      </c>
      <c r="O163" s="458">
        <f t="shared" si="90"/>
        <v>40222</v>
      </c>
      <c r="P163" s="458">
        <f>P164+P167</f>
        <v>15765</v>
      </c>
      <c r="Q163" s="458">
        <f>Q164+Q167</f>
        <v>24457</v>
      </c>
      <c r="R163" s="458">
        <f t="shared" si="79"/>
        <v>0</v>
      </c>
      <c r="S163" s="458"/>
      <c r="T163" s="458"/>
      <c r="U163" s="458">
        <f t="shared" si="91"/>
        <v>23234</v>
      </c>
      <c r="V163" s="458">
        <f>V164+V167</f>
        <v>23234</v>
      </c>
      <c r="W163" s="458">
        <f>W164+W167</f>
        <v>0</v>
      </c>
      <c r="X163" s="522">
        <f>X164+X167</f>
        <v>0</v>
      </c>
      <c r="Y163" s="458">
        <f t="shared" si="102"/>
        <v>0</v>
      </c>
      <c r="Z163" s="458"/>
      <c r="AA163" s="458"/>
      <c r="AB163" s="458"/>
      <c r="AC163" s="458">
        <f t="shared" si="103"/>
        <v>0</v>
      </c>
      <c r="AD163" s="458"/>
      <c r="AE163" s="458"/>
      <c r="AF163" s="458"/>
      <c r="AG163" s="513">
        <f t="shared" si="104"/>
        <v>63456</v>
      </c>
      <c r="AH163" s="512"/>
      <c r="AI163" s="512"/>
      <c r="AJ163" s="512"/>
      <c r="AK163" s="512"/>
      <c r="AL163" s="514"/>
      <c r="AM163" s="514"/>
      <c r="AN163" s="513"/>
      <c r="AO163" s="449">
        <v>63455</v>
      </c>
      <c r="AP163" s="441">
        <f>K163-AO163</f>
        <v>1</v>
      </c>
      <c r="AQ163" s="441">
        <f>AR163+AS163</f>
        <v>0</v>
      </c>
      <c r="AR163" s="441"/>
      <c r="AS163" s="441"/>
      <c r="AT163" s="441"/>
      <c r="AU163" s="445"/>
    </row>
    <row r="164" spans="1:47" ht="19.5" customHeight="1">
      <c r="A164" s="431" t="s">
        <v>453</v>
      </c>
      <c r="B164" s="435" t="s">
        <v>401</v>
      </c>
      <c r="C164" s="545">
        <f t="shared" si="101"/>
        <v>0</v>
      </c>
      <c r="D164" s="435"/>
      <c r="E164" s="435"/>
      <c r="F164" s="435"/>
      <c r="G164" s="435"/>
      <c r="H164" s="435"/>
      <c r="I164" s="435"/>
      <c r="J164" s="435"/>
      <c r="K164" s="461">
        <f t="shared" si="108"/>
        <v>38999</v>
      </c>
      <c r="L164" s="461">
        <f t="shared" si="109"/>
        <v>15765</v>
      </c>
      <c r="M164" s="461">
        <f>M165+M166</f>
        <v>15765</v>
      </c>
      <c r="N164" s="461">
        <f>N165+N166</f>
        <v>0</v>
      </c>
      <c r="O164" s="461">
        <f t="shared" si="90"/>
        <v>15765</v>
      </c>
      <c r="P164" s="461">
        <f>P165+P166</f>
        <v>15765</v>
      </c>
      <c r="Q164" s="461">
        <f>Q165+Q166</f>
        <v>0</v>
      </c>
      <c r="R164" s="461">
        <f t="shared" si="79"/>
        <v>0</v>
      </c>
      <c r="S164" s="461"/>
      <c r="T164" s="461"/>
      <c r="U164" s="461">
        <f t="shared" si="91"/>
        <v>23234</v>
      </c>
      <c r="V164" s="461">
        <f>V165+V166</f>
        <v>23234</v>
      </c>
      <c r="W164" s="461">
        <f>W165+W166</f>
        <v>0</v>
      </c>
      <c r="X164" s="523">
        <f>X165+X166</f>
        <v>0</v>
      </c>
      <c r="Y164" s="461">
        <f t="shared" si="102"/>
        <v>0</v>
      </c>
      <c r="Z164" s="461"/>
      <c r="AA164" s="461"/>
      <c r="AB164" s="461"/>
      <c r="AC164" s="461">
        <f t="shared" si="103"/>
        <v>0</v>
      </c>
      <c r="AD164" s="461"/>
      <c r="AE164" s="461"/>
      <c r="AF164" s="461"/>
      <c r="AG164" s="513">
        <f t="shared" si="104"/>
        <v>38999</v>
      </c>
      <c r="AH164" s="513"/>
      <c r="AI164" s="513"/>
      <c r="AJ164" s="513"/>
      <c r="AK164" s="513"/>
      <c r="AL164" s="514"/>
      <c r="AM164" s="514"/>
      <c r="AN164" s="513"/>
      <c r="AO164" s="451"/>
    </row>
    <row r="165" spans="1:47" ht="19.5" customHeight="1">
      <c r="A165" s="431" t="s">
        <v>433</v>
      </c>
      <c r="B165" s="435" t="s">
        <v>37</v>
      </c>
      <c r="C165" s="545">
        <f t="shared" si="101"/>
        <v>0</v>
      </c>
      <c r="D165" s="435"/>
      <c r="E165" s="435"/>
      <c r="F165" s="435"/>
      <c r="G165" s="435"/>
      <c r="H165" s="435"/>
      <c r="I165" s="435"/>
      <c r="J165" s="435"/>
      <c r="K165" s="459">
        <f t="shared" si="108"/>
        <v>32649</v>
      </c>
      <c r="L165" s="461">
        <f t="shared" si="109"/>
        <v>9415</v>
      </c>
      <c r="M165" s="459">
        <f>P165+S165</f>
        <v>9415</v>
      </c>
      <c r="N165" s="459">
        <f>Q165+T165</f>
        <v>0</v>
      </c>
      <c r="O165" s="459">
        <f t="shared" si="90"/>
        <v>9415</v>
      </c>
      <c r="P165" s="459">
        <v>9415</v>
      </c>
      <c r="Q165" s="459"/>
      <c r="R165" s="459">
        <f t="shared" si="79"/>
        <v>0</v>
      </c>
      <c r="S165" s="459"/>
      <c r="T165" s="459"/>
      <c r="U165" s="459">
        <f t="shared" si="91"/>
        <v>23234</v>
      </c>
      <c r="V165" s="459">
        <v>23234</v>
      </c>
      <c r="W165" s="459"/>
      <c r="X165" s="525"/>
      <c r="Y165" s="459">
        <f t="shared" si="102"/>
        <v>0</v>
      </c>
      <c r="Z165" s="459"/>
      <c r="AA165" s="459"/>
      <c r="AB165" s="459"/>
      <c r="AC165" s="459">
        <f t="shared" si="103"/>
        <v>0</v>
      </c>
      <c r="AD165" s="459"/>
      <c r="AE165" s="459"/>
      <c r="AF165" s="459"/>
      <c r="AG165" s="513">
        <f t="shared" si="104"/>
        <v>32649</v>
      </c>
      <c r="AH165" s="520"/>
      <c r="AI165" s="520"/>
      <c r="AJ165" s="520"/>
      <c r="AK165" s="520"/>
      <c r="AL165" s="514"/>
      <c r="AM165" s="514"/>
      <c r="AN165" s="513"/>
      <c r="AO165" s="451"/>
    </row>
    <row r="166" spans="1:47" ht="19.5" customHeight="1">
      <c r="A166" s="431" t="s">
        <v>433</v>
      </c>
      <c r="B166" s="435" t="s">
        <v>437</v>
      </c>
      <c r="C166" s="545">
        <f t="shared" si="101"/>
        <v>0</v>
      </c>
      <c r="D166" s="435"/>
      <c r="E166" s="435"/>
      <c r="F166" s="435"/>
      <c r="G166" s="435"/>
      <c r="H166" s="435"/>
      <c r="I166" s="435"/>
      <c r="J166" s="435"/>
      <c r="K166" s="459">
        <f t="shared" si="108"/>
        <v>6350</v>
      </c>
      <c r="L166" s="461">
        <f t="shared" si="109"/>
        <v>6350</v>
      </c>
      <c r="M166" s="459">
        <f>P166+S166</f>
        <v>6350</v>
      </c>
      <c r="N166" s="459">
        <f>Q166+T166</f>
        <v>0</v>
      </c>
      <c r="O166" s="459">
        <f t="shared" si="90"/>
        <v>6350</v>
      </c>
      <c r="P166" s="459">
        <v>6350</v>
      </c>
      <c r="Q166" s="459"/>
      <c r="R166" s="459">
        <f t="shared" si="79"/>
        <v>0</v>
      </c>
      <c r="S166" s="459"/>
      <c r="T166" s="459"/>
      <c r="U166" s="459">
        <f t="shared" si="91"/>
        <v>0</v>
      </c>
      <c r="V166" s="459"/>
      <c r="W166" s="459"/>
      <c r="X166" s="525"/>
      <c r="Y166" s="459">
        <f t="shared" si="102"/>
        <v>0</v>
      </c>
      <c r="Z166" s="459"/>
      <c r="AA166" s="459"/>
      <c r="AB166" s="459"/>
      <c r="AC166" s="459">
        <f t="shared" si="103"/>
        <v>0</v>
      </c>
      <c r="AD166" s="459"/>
      <c r="AE166" s="459"/>
      <c r="AF166" s="459"/>
      <c r="AG166" s="513">
        <f t="shared" si="104"/>
        <v>6350</v>
      </c>
      <c r="AH166" s="520"/>
      <c r="AI166" s="520"/>
      <c r="AJ166" s="520"/>
      <c r="AK166" s="520"/>
      <c r="AL166" s="514"/>
      <c r="AM166" s="514"/>
      <c r="AN166" s="513"/>
      <c r="AO166" s="451"/>
    </row>
    <row r="167" spans="1:47" ht="19.5" customHeight="1">
      <c r="A167" s="431" t="s">
        <v>454</v>
      </c>
      <c r="B167" s="480" t="s">
        <v>402</v>
      </c>
      <c r="C167" s="545">
        <f t="shared" si="101"/>
        <v>0</v>
      </c>
      <c r="D167" s="480"/>
      <c r="E167" s="480"/>
      <c r="F167" s="480"/>
      <c r="G167" s="480"/>
      <c r="H167" s="480"/>
      <c r="I167" s="480"/>
      <c r="J167" s="480"/>
      <c r="K167" s="459">
        <f t="shared" si="108"/>
        <v>24457</v>
      </c>
      <c r="L167" s="461">
        <f t="shared" si="109"/>
        <v>24457</v>
      </c>
      <c r="M167" s="459">
        <f>M168+M169</f>
        <v>0</v>
      </c>
      <c r="N167" s="459">
        <f>N168+N169</f>
        <v>24457</v>
      </c>
      <c r="O167" s="459">
        <f>P167+Q167</f>
        <v>24457</v>
      </c>
      <c r="P167" s="459">
        <f>SUM(P168:P169)</f>
        <v>0</v>
      </c>
      <c r="Q167" s="459">
        <f>SUM(Q168:Q169)</f>
        <v>24457</v>
      </c>
      <c r="R167" s="459">
        <f t="shared" si="79"/>
        <v>0</v>
      </c>
      <c r="S167" s="459"/>
      <c r="T167" s="459"/>
      <c r="U167" s="459">
        <f t="shared" si="91"/>
        <v>0</v>
      </c>
      <c r="V167" s="459">
        <f>SUM(V168:V169)</f>
        <v>0</v>
      </c>
      <c r="W167" s="459">
        <f>SUM(W168:W169)</f>
        <v>0</v>
      </c>
      <c r="X167" s="528">
        <f>SUM(X168:X169)</f>
        <v>0</v>
      </c>
      <c r="Y167" s="459">
        <f t="shared" si="102"/>
        <v>0</v>
      </c>
      <c r="Z167" s="459"/>
      <c r="AA167" s="459"/>
      <c r="AB167" s="459"/>
      <c r="AC167" s="459">
        <f t="shared" si="103"/>
        <v>0</v>
      </c>
      <c r="AD167" s="459"/>
      <c r="AE167" s="459"/>
      <c r="AF167" s="459"/>
      <c r="AG167" s="513">
        <f t="shared" si="104"/>
        <v>24457</v>
      </c>
      <c r="AH167" s="520"/>
      <c r="AI167" s="520"/>
      <c r="AJ167" s="520"/>
      <c r="AK167" s="520"/>
      <c r="AL167" s="514"/>
      <c r="AM167" s="514"/>
      <c r="AN167" s="513"/>
      <c r="AO167" s="451"/>
    </row>
    <row r="168" spans="1:47" ht="19.5" customHeight="1">
      <c r="A168" s="431" t="s">
        <v>433</v>
      </c>
      <c r="B168" s="435" t="s">
        <v>446</v>
      </c>
      <c r="C168" s="545">
        <f t="shared" si="101"/>
        <v>0</v>
      </c>
      <c r="D168" s="435"/>
      <c r="E168" s="435"/>
      <c r="F168" s="435"/>
      <c r="G168" s="435"/>
      <c r="H168" s="435"/>
      <c r="I168" s="435"/>
      <c r="J168" s="435"/>
      <c r="K168" s="459">
        <f t="shared" si="108"/>
        <v>822</v>
      </c>
      <c r="L168" s="461">
        <f t="shared" si="109"/>
        <v>822</v>
      </c>
      <c r="M168" s="459">
        <f t="shared" ref="M168:M193" si="123">P168+S168</f>
        <v>0</v>
      </c>
      <c r="N168" s="459">
        <f t="shared" ref="N168:N193" si="124">Q168+T168</f>
        <v>822</v>
      </c>
      <c r="O168" s="459">
        <f>P168+Q168</f>
        <v>822</v>
      </c>
      <c r="P168" s="459"/>
      <c r="Q168" s="459">
        <v>822</v>
      </c>
      <c r="R168" s="459">
        <f t="shared" si="79"/>
        <v>0</v>
      </c>
      <c r="S168" s="459"/>
      <c r="T168" s="459"/>
      <c r="U168" s="459">
        <f t="shared" si="91"/>
        <v>0</v>
      </c>
      <c r="V168" s="459"/>
      <c r="W168" s="459"/>
      <c r="X168" s="525"/>
      <c r="Y168" s="459">
        <f t="shared" si="102"/>
        <v>0</v>
      </c>
      <c r="Z168" s="459"/>
      <c r="AA168" s="459"/>
      <c r="AB168" s="459"/>
      <c r="AC168" s="459">
        <f t="shared" si="103"/>
        <v>0</v>
      </c>
      <c r="AD168" s="459"/>
      <c r="AE168" s="459"/>
      <c r="AF168" s="459"/>
      <c r="AG168" s="513">
        <f t="shared" si="104"/>
        <v>822</v>
      </c>
      <c r="AH168" s="520"/>
      <c r="AI168" s="520"/>
      <c r="AJ168" s="520"/>
      <c r="AK168" s="520"/>
      <c r="AL168" s="514"/>
      <c r="AM168" s="514"/>
      <c r="AN168" s="513"/>
      <c r="AO168" s="451"/>
    </row>
    <row r="169" spans="1:47" ht="19.5" customHeight="1">
      <c r="A169" s="431" t="s">
        <v>433</v>
      </c>
      <c r="B169" s="435" t="s">
        <v>402</v>
      </c>
      <c r="C169" s="545">
        <f t="shared" si="101"/>
        <v>0</v>
      </c>
      <c r="D169" s="435"/>
      <c r="E169" s="435"/>
      <c r="F169" s="435"/>
      <c r="G169" s="435"/>
      <c r="H169" s="435"/>
      <c r="I169" s="435"/>
      <c r="J169" s="435"/>
      <c r="K169" s="459">
        <f t="shared" si="108"/>
        <v>23635</v>
      </c>
      <c r="L169" s="461">
        <f t="shared" si="109"/>
        <v>23635</v>
      </c>
      <c r="M169" s="459">
        <f t="shared" si="123"/>
        <v>0</v>
      </c>
      <c r="N169" s="459">
        <f t="shared" si="124"/>
        <v>23635</v>
      </c>
      <c r="O169" s="459">
        <f t="shared" si="90"/>
        <v>23635</v>
      </c>
      <c r="P169" s="459"/>
      <c r="Q169" s="459">
        <f>22269-31+940-9-1-148-25+631+9</f>
        <v>23635</v>
      </c>
      <c r="R169" s="459">
        <f t="shared" ref="R169:R193" si="125">S169+T169</f>
        <v>0</v>
      </c>
      <c r="S169" s="459"/>
      <c r="T169" s="459"/>
      <c r="U169" s="459">
        <f t="shared" si="91"/>
        <v>0</v>
      </c>
      <c r="V169" s="459"/>
      <c r="W169" s="459"/>
      <c r="X169" s="525"/>
      <c r="Y169" s="459">
        <f t="shared" si="102"/>
        <v>0</v>
      </c>
      <c r="Z169" s="459"/>
      <c r="AA169" s="459"/>
      <c r="AB169" s="459"/>
      <c r="AC169" s="459">
        <f t="shared" si="103"/>
        <v>0</v>
      </c>
      <c r="AD169" s="459"/>
      <c r="AE169" s="459"/>
      <c r="AF169" s="459"/>
      <c r="AG169" s="513">
        <f t="shared" si="104"/>
        <v>23635</v>
      </c>
      <c r="AH169" s="520"/>
      <c r="AI169" s="520"/>
      <c r="AJ169" s="520"/>
      <c r="AK169" s="520"/>
      <c r="AL169" s="514"/>
      <c r="AM169" s="514"/>
      <c r="AN169" s="513"/>
      <c r="AO169" s="451"/>
    </row>
    <row r="170" spans="1:47" ht="19.5" customHeight="1">
      <c r="A170" s="431"/>
      <c r="B170" s="435" t="s">
        <v>447</v>
      </c>
      <c r="C170" s="545">
        <f t="shared" si="101"/>
        <v>0</v>
      </c>
      <c r="D170" s="435"/>
      <c r="E170" s="435"/>
      <c r="F170" s="435"/>
      <c r="G170" s="435"/>
      <c r="H170" s="435"/>
      <c r="I170" s="435"/>
      <c r="J170" s="435"/>
      <c r="K170" s="461">
        <f t="shared" si="108"/>
        <v>2363.5</v>
      </c>
      <c r="L170" s="461">
        <f t="shared" si="109"/>
        <v>2363.5</v>
      </c>
      <c r="M170" s="459">
        <f t="shared" si="123"/>
        <v>0</v>
      </c>
      <c r="N170" s="459">
        <f t="shared" si="124"/>
        <v>2363.5</v>
      </c>
      <c r="O170" s="461">
        <f t="shared" si="90"/>
        <v>2363.5</v>
      </c>
      <c r="P170" s="461"/>
      <c r="Q170" s="461">
        <f>Q169*10%</f>
        <v>2363.5</v>
      </c>
      <c r="R170" s="461">
        <f t="shared" si="125"/>
        <v>0</v>
      </c>
      <c r="S170" s="461"/>
      <c r="T170" s="461"/>
      <c r="U170" s="461">
        <f t="shared" si="91"/>
        <v>0</v>
      </c>
      <c r="V170" s="461"/>
      <c r="W170" s="461"/>
      <c r="X170" s="526"/>
      <c r="Y170" s="461">
        <f t="shared" si="102"/>
        <v>0</v>
      </c>
      <c r="Z170" s="461"/>
      <c r="AA170" s="461"/>
      <c r="AB170" s="461"/>
      <c r="AC170" s="461">
        <f t="shared" si="103"/>
        <v>0</v>
      </c>
      <c r="AD170" s="461"/>
      <c r="AE170" s="461"/>
      <c r="AF170" s="461"/>
      <c r="AG170" s="513">
        <f t="shared" si="104"/>
        <v>2363.5</v>
      </c>
      <c r="AH170" s="513"/>
      <c r="AI170" s="513"/>
      <c r="AJ170" s="513"/>
      <c r="AK170" s="513"/>
      <c r="AL170" s="514"/>
      <c r="AM170" s="514"/>
      <c r="AN170" s="513"/>
      <c r="AO170" s="451"/>
      <c r="AP170" s="440">
        <v>507965</v>
      </c>
      <c r="AQ170" s="440">
        <f>AP170-507762</f>
        <v>203</v>
      </c>
    </row>
    <row r="171" spans="1:47" s="434" customFormat="1" ht="24.75" customHeight="1">
      <c r="A171" s="428" t="s">
        <v>196</v>
      </c>
      <c r="B171" s="433" t="s">
        <v>398</v>
      </c>
      <c r="C171" s="545">
        <f t="shared" si="101"/>
        <v>0</v>
      </c>
      <c r="D171" s="433"/>
      <c r="E171" s="433"/>
      <c r="F171" s="433"/>
      <c r="G171" s="433"/>
      <c r="H171" s="433"/>
      <c r="I171" s="433"/>
      <c r="J171" s="433"/>
      <c r="K171" s="465" t="e">
        <f t="shared" si="108"/>
        <v>#REF!</v>
      </c>
      <c r="L171" s="458">
        <f t="shared" si="109"/>
        <v>406081</v>
      </c>
      <c r="M171" s="459">
        <f t="shared" si="123"/>
        <v>0</v>
      </c>
      <c r="N171" s="459">
        <f t="shared" si="124"/>
        <v>406081</v>
      </c>
      <c r="O171" s="458">
        <f>P171+Q171</f>
        <v>406081</v>
      </c>
      <c r="P171" s="458"/>
      <c r="Q171" s="458">
        <f>273885+138452-166-6+51+1154+3430+389-42+400-1-11000-1+203-1249+582</f>
        <v>406081</v>
      </c>
      <c r="R171" s="458">
        <f t="shared" si="125"/>
        <v>0</v>
      </c>
      <c r="S171" s="458"/>
      <c r="T171" s="458"/>
      <c r="U171" s="458">
        <f t="shared" si="91"/>
        <v>113084</v>
      </c>
      <c r="V171" s="458">
        <v>101884</v>
      </c>
      <c r="W171" s="458">
        <v>11200</v>
      </c>
      <c r="X171" s="522" t="e">
        <f>'Bieu 17'!#REF!</f>
        <v>#REF!</v>
      </c>
      <c r="Y171" s="458">
        <f t="shared" si="102"/>
        <v>0</v>
      </c>
      <c r="Z171" s="458"/>
      <c r="AA171" s="458"/>
      <c r="AB171" s="458"/>
      <c r="AC171" s="458">
        <f t="shared" si="103"/>
        <v>0</v>
      </c>
      <c r="AD171" s="458"/>
      <c r="AE171" s="458"/>
      <c r="AF171" s="458"/>
      <c r="AG171" s="513">
        <f t="shared" si="104"/>
        <v>519165</v>
      </c>
      <c r="AH171" s="512"/>
      <c r="AI171" s="512"/>
      <c r="AJ171" s="512"/>
      <c r="AK171" s="512"/>
      <c r="AL171" s="514">
        <f>V171</f>
        <v>101884</v>
      </c>
      <c r="AM171" s="514" t="e">
        <f>X171</f>
        <v>#REF!</v>
      </c>
      <c r="AN171" s="513" t="e">
        <f>AB171+AL171+AM171</f>
        <v>#REF!</v>
      </c>
      <c r="AO171" s="449">
        <f>245080+200000+73885</f>
        <v>518965</v>
      </c>
      <c r="AP171" s="441" t="e">
        <f>AO171-K171</f>
        <v>#REF!</v>
      </c>
      <c r="AQ171" s="440">
        <f>AR171+AS171</f>
        <v>0</v>
      </c>
      <c r="AR171" s="441"/>
      <c r="AS171" s="441"/>
      <c r="AT171" s="441"/>
      <c r="AU171" s="445"/>
    </row>
    <row r="172" spans="1:47" s="434" customFormat="1" ht="31.5">
      <c r="A172" s="428" t="s">
        <v>197</v>
      </c>
      <c r="B172" s="433" t="s">
        <v>421</v>
      </c>
      <c r="C172" s="545">
        <f t="shared" si="101"/>
        <v>0</v>
      </c>
      <c r="D172" s="433">
        <f>D173+D181+D186</f>
        <v>0</v>
      </c>
      <c r="E172" s="433">
        <f t="shared" ref="E172:J172" si="126">E173+E181+E186</f>
        <v>0</v>
      </c>
      <c r="F172" s="433">
        <f t="shared" si="126"/>
        <v>0</v>
      </c>
      <c r="G172" s="433">
        <f t="shared" ref="G172" si="127">G173+G181+G186</f>
        <v>0</v>
      </c>
      <c r="H172" s="433">
        <f t="shared" ref="H172" si="128">H173+H181+H186</f>
        <v>0</v>
      </c>
      <c r="I172" s="433">
        <f t="shared" si="126"/>
        <v>0</v>
      </c>
      <c r="J172" s="433">
        <f t="shared" si="126"/>
        <v>0</v>
      </c>
      <c r="K172" s="465">
        <f>K173+K181+K186</f>
        <v>166576</v>
      </c>
      <c r="L172" s="465">
        <f t="shared" ref="L172:X172" si="129">L173+L181+L186</f>
        <v>0</v>
      </c>
      <c r="M172" s="465">
        <f t="shared" si="129"/>
        <v>0</v>
      </c>
      <c r="N172" s="465">
        <f t="shared" si="129"/>
        <v>0</v>
      </c>
      <c r="O172" s="465">
        <f t="shared" si="129"/>
        <v>0</v>
      </c>
      <c r="P172" s="465">
        <f t="shared" si="129"/>
        <v>0</v>
      </c>
      <c r="Q172" s="465">
        <f t="shared" si="129"/>
        <v>0</v>
      </c>
      <c r="R172" s="465">
        <f t="shared" si="129"/>
        <v>0</v>
      </c>
      <c r="S172" s="465">
        <f t="shared" si="129"/>
        <v>0</v>
      </c>
      <c r="T172" s="465">
        <f t="shared" si="129"/>
        <v>0</v>
      </c>
      <c r="U172" s="465">
        <f t="shared" si="129"/>
        <v>0</v>
      </c>
      <c r="V172" s="465">
        <f t="shared" si="129"/>
        <v>0</v>
      </c>
      <c r="W172" s="465">
        <f t="shared" si="129"/>
        <v>0</v>
      </c>
      <c r="X172" s="465">
        <f t="shared" si="129"/>
        <v>166576</v>
      </c>
      <c r="Y172" s="465">
        <f t="shared" si="102"/>
        <v>0</v>
      </c>
      <c r="Z172" s="465">
        <f t="shared" ref="Z172" si="130">Z173+Z181+Z186</f>
        <v>0</v>
      </c>
      <c r="AA172" s="465"/>
      <c r="AB172" s="465">
        <f t="shared" ref="AB172" si="131">AB173+AB181+AB186</f>
        <v>0</v>
      </c>
      <c r="AC172" s="465">
        <f t="shared" si="103"/>
        <v>0</v>
      </c>
      <c r="AD172" s="465">
        <f t="shared" ref="AD172" si="132">AD173+AD181+AD186</f>
        <v>0</v>
      </c>
      <c r="AE172" s="465"/>
      <c r="AF172" s="465">
        <f t="shared" ref="AF172" si="133">AF173+AF181+AF186</f>
        <v>0</v>
      </c>
      <c r="AG172" s="513">
        <f t="shared" si="104"/>
        <v>0</v>
      </c>
      <c r="AH172" s="556"/>
      <c r="AI172" s="556"/>
      <c r="AJ172" s="556"/>
      <c r="AK172" s="556"/>
      <c r="AL172" s="514">
        <f>V172</f>
        <v>0</v>
      </c>
      <c r="AM172" s="514">
        <f>X172</f>
        <v>166576</v>
      </c>
      <c r="AN172" s="513">
        <f>AB172+AL172+AM172</f>
        <v>166576</v>
      </c>
      <c r="AO172" s="449"/>
      <c r="AP172" s="441"/>
      <c r="AQ172" s="440"/>
      <c r="AR172" s="441"/>
      <c r="AS172" s="441"/>
      <c r="AT172" s="441"/>
      <c r="AU172" s="445"/>
    </row>
    <row r="173" spans="1:47" s="434" customFormat="1">
      <c r="A173" s="551">
        <v>1</v>
      </c>
      <c r="B173" s="433" t="s">
        <v>482</v>
      </c>
      <c r="C173" s="545">
        <f t="shared" si="101"/>
        <v>0</v>
      </c>
      <c r="D173" s="433"/>
      <c r="E173" s="433"/>
      <c r="F173" s="433"/>
      <c r="G173" s="433"/>
      <c r="H173" s="433"/>
      <c r="I173" s="433"/>
      <c r="J173" s="433"/>
      <c r="K173" s="465">
        <f>SUM(K174:K180)</f>
        <v>49988</v>
      </c>
      <c r="L173" s="465">
        <f t="shared" ref="L173:X173" si="134">SUM(L174:L180)</f>
        <v>0</v>
      </c>
      <c r="M173" s="465">
        <f t="shared" si="134"/>
        <v>0</v>
      </c>
      <c r="N173" s="465">
        <f t="shared" si="134"/>
        <v>0</v>
      </c>
      <c r="O173" s="465">
        <f t="shared" si="134"/>
        <v>0</v>
      </c>
      <c r="P173" s="465">
        <f t="shared" si="134"/>
        <v>0</v>
      </c>
      <c r="Q173" s="465">
        <f t="shared" si="134"/>
        <v>0</v>
      </c>
      <c r="R173" s="465">
        <f t="shared" si="134"/>
        <v>0</v>
      </c>
      <c r="S173" s="465">
        <f t="shared" si="134"/>
        <v>0</v>
      </c>
      <c r="T173" s="465">
        <f t="shared" si="134"/>
        <v>0</v>
      </c>
      <c r="U173" s="465">
        <f t="shared" si="134"/>
        <v>0</v>
      </c>
      <c r="V173" s="465">
        <f t="shared" si="134"/>
        <v>0</v>
      </c>
      <c r="W173" s="465">
        <f t="shared" si="134"/>
        <v>0</v>
      </c>
      <c r="X173" s="465">
        <f t="shared" si="134"/>
        <v>49988</v>
      </c>
      <c r="Y173" s="465">
        <f t="shared" si="102"/>
        <v>0</v>
      </c>
      <c r="Z173" s="465">
        <f t="shared" ref="Z173:AA173" si="135">SUM(Z174:Z180)</f>
        <v>0</v>
      </c>
      <c r="AA173" s="465">
        <f t="shared" si="135"/>
        <v>0</v>
      </c>
      <c r="AB173" s="465">
        <f t="shared" ref="AB173" si="136">SUM(AB174:AB180)</f>
        <v>0</v>
      </c>
      <c r="AC173" s="465">
        <f t="shared" si="103"/>
        <v>0</v>
      </c>
      <c r="AD173" s="465">
        <f t="shared" ref="AD173:AE173" si="137">SUM(AD174:AD180)</f>
        <v>0</v>
      </c>
      <c r="AE173" s="465">
        <f t="shared" si="137"/>
        <v>0</v>
      </c>
      <c r="AF173" s="465">
        <f t="shared" ref="AF173" si="138">SUM(AF174:AF180)</f>
        <v>0</v>
      </c>
      <c r="AG173" s="513">
        <f t="shared" si="104"/>
        <v>0</v>
      </c>
      <c r="AH173" s="556"/>
      <c r="AI173" s="556"/>
      <c r="AJ173" s="556"/>
      <c r="AK173" s="556"/>
      <c r="AL173" s="515"/>
      <c r="AM173" s="515"/>
      <c r="AN173" s="512"/>
      <c r="AO173" s="449"/>
      <c r="AP173" s="441"/>
      <c r="AQ173" s="441"/>
      <c r="AR173" s="441"/>
      <c r="AS173" s="441"/>
      <c r="AT173" s="441"/>
      <c r="AU173" s="445"/>
    </row>
    <row r="174" spans="1:47" s="434" customFormat="1" ht="31.5">
      <c r="A174" s="551"/>
      <c r="B174" s="436" t="s">
        <v>483</v>
      </c>
      <c r="C174" s="545">
        <f t="shared" si="101"/>
        <v>0</v>
      </c>
      <c r="D174" s="436"/>
      <c r="E174" s="436"/>
      <c r="F174" s="436"/>
      <c r="G174" s="436"/>
      <c r="H174" s="436"/>
      <c r="I174" s="436"/>
      <c r="J174" s="436"/>
      <c r="K174" s="465">
        <f t="shared" ref="K174:K180" si="139">L174+U174+X174</f>
        <v>5782</v>
      </c>
      <c r="L174" s="458">
        <f t="shared" ref="L174:L180" si="140">M174+N174</f>
        <v>0</v>
      </c>
      <c r="M174" s="459">
        <f t="shared" ref="M174:M180" si="141">P174+S174</f>
        <v>0</v>
      </c>
      <c r="N174" s="459">
        <f t="shared" ref="N174:N180" si="142">Q174+T174</f>
        <v>0</v>
      </c>
      <c r="O174" s="458">
        <f t="shared" ref="O174:O180" si="143">P174+Q174</f>
        <v>0</v>
      </c>
      <c r="P174" s="458"/>
      <c r="Q174" s="458"/>
      <c r="R174" s="458">
        <f t="shared" ref="R174:R180" si="144">S174+T174</f>
        <v>0</v>
      </c>
      <c r="S174" s="458"/>
      <c r="T174" s="458"/>
      <c r="U174" s="458">
        <f t="shared" ref="U174:U180" si="145">V174+W174</f>
        <v>0</v>
      </c>
      <c r="V174" s="458"/>
      <c r="W174" s="458"/>
      <c r="X174" s="523">
        <v>5782</v>
      </c>
      <c r="Y174" s="458">
        <f t="shared" si="102"/>
        <v>0</v>
      </c>
      <c r="Z174" s="458"/>
      <c r="AA174" s="458"/>
      <c r="AB174" s="458"/>
      <c r="AC174" s="458">
        <f t="shared" si="103"/>
        <v>0</v>
      </c>
      <c r="AD174" s="458"/>
      <c r="AE174" s="458"/>
      <c r="AF174" s="458"/>
      <c r="AG174" s="513">
        <f t="shared" si="104"/>
        <v>0</v>
      </c>
      <c r="AH174" s="512"/>
      <c r="AI174" s="512"/>
      <c r="AJ174" s="512"/>
      <c r="AK174" s="512"/>
      <c r="AL174" s="514"/>
      <c r="AM174" s="514"/>
      <c r="AN174" s="513"/>
      <c r="AO174" s="449"/>
      <c r="AP174" s="441"/>
      <c r="AQ174" s="440"/>
      <c r="AR174" s="441"/>
      <c r="AS174" s="441"/>
      <c r="AT174" s="441"/>
      <c r="AU174" s="445"/>
    </row>
    <row r="175" spans="1:47" s="434" customFormat="1">
      <c r="A175" s="551"/>
      <c r="B175" s="436" t="s">
        <v>484</v>
      </c>
      <c r="C175" s="545">
        <f t="shared" si="101"/>
        <v>0</v>
      </c>
      <c r="D175" s="436"/>
      <c r="E175" s="436"/>
      <c r="F175" s="436"/>
      <c r="G175" s="436"/>
      <c r="H175" s="436"/>
      <c r="I175" s="436"/>
      <c r="J175" s="436"/>
      <c r="K175" s="465">
        <f t="shared" si="139"/>
        <v>4535</v>
      </c>
      <c r="L175" s="458">
        <f t="shared" si="140"/>
        <v>0</v>
      </c>
      <c r="M175" s="459">
        <f t="shared" si="141"/>
        <v>0</v>
      </c>
      <c r="N175" s="459">
        <f t="shared" si="142"/>
        <v>0</v>
      </c>
      <c r="O175" s="458">
        <f t="shared" si="143"/>
        <v>0</v>
      </c>
      <c r="P175" s="458"/>
      <c r="Q175" s="458"/>
      <c r="R175" s="458">
        <f t="shared" si="144"/>
        <v>0</v>
      </c>
      <c r="S175" s="458"/>
      <c r="T175" s="458"/>
      <c r="U175" s="458">
        <f t="shared" si="145"/>
        <v>0</v>
      </c>
      <c r="V175" s="458"/>
      <c r="W175" s="458"/>
      <c r="X175" s="523">
        <v>4535</v>
      </c>
      <c r="Y175" s="458">
        <f t="shared" si="102"/>
        <v>0</v>
      </c>
      <c r="Z175" s="458"/>
      <c r="AA175" s="458"/>
      <c r="AB175" s="458"/>
      <c r="AC175" s="458">
        <f t="shared" si="103"/>
        <v>0</v>
      </c>
      <c r="AD175" s="458"/>
      <c r="AE175" s="458"/>
      <c r="AF175" s="458"/>
      <c r="AG175" s="513">
        <f t="shared" si="104"/>
        <v>0</v>
      </c>
      <c r="AH175" s="512"/>
      <c r="AI175" s="512"/>
      <c r="AJ175" s="512"/>
      <c r="AK175" s="512"/>
      <c r="AL175" s="514"/>
      <c r="AM175" s="514"/>
      <c r="AN175" s="513"/>
      <c r="AO175" s="449"/>
      <c r="AP175" s="441"/>
      <c r="AQ175" s="440"/>
      <c r="AR175" s="441"/>
      <c r="AS175" s="441"/>
      <c r="AT175" s="441"/>
      <c r="AU175" s="445"/>
    </row>
    <row r="176" spans="1:47" s="434" customFormat="1">
      <c r="A176" s="551"/>
      <c r="B176" s="436" t="s">
        <v>485</v>
      </c>
      <c r="C176" s="545">
        <f t="shared" si="101"/>
        <v>0</v>
      </c>
      <c r="D176" s="436"/>
      <c r="E176" s="436"/>
      <c r="F176" s="436"/>
      <c r="G176" s="436"/>
      <c r="H176" s="436"/>
      <c r="I176" s="436"/>
      <c r="J176" s="436"/>
      <c r="K176" s="465">
        <f t="shared" si="139"/>
        <v>8988</v>
      </c>
      <c r="L176" s="458">
        <f t="shared" si="140"/>
        <v>0</v>
      </c>
      <c r="M176" s="459">
        <f t="shared" si="141"/>
        <v>0</v>
      </c>
      <c r="N176" s="459">
        <f t="shared" si="142"/>
        <v>0</v>
      </c>
      <c r="O176" s="458">
        <f t="shared" si="143"/>
        <v>0</v>
      </c>
      <c r="P176" s="458"/>
      <c r="Q176" s="458"/>
      <c r="R176" s="458">
        <f t="shared" si="144"/>
        <v>0</v>
      </c>
      <c r="S176" s="458"/>
      <c r="T176" s="458"/>
      <c r="U176" s="458">
        <f t="shared" si="145"/>
        <v>0</v>
      </c>
      <c r="V176" s="458"/>
      <c r="W176" s="458"/>
      <c r="X176" s="523">
        <v>8988</v>
      </c>
      <c r="Y176" s="458">
        <f t="shared" si="102"/>
        <v>0</v>
      </c>
      <c r="Z176" s="458"/>
      <c r="AA176" s="458"/>
      <c r="AB176" s="458"/>
      <c r="AC176" s="458">
        <f t="shared" si="103"/>
        <v>0</v>
      </c>
      <c r="AD176" s="458"/>
      <c r="AE176" s="458"/>
      <c r="AF176" s="458"/>
      <c r="AG176" s="513">
        <f t="shared" si="104"/>
        <v>0</v>
      </c>
      <c r="AH176" s="512"/>
      <c r="AI176" s="512"/>
      <c r="AJ176" s="512"/>
      <c r="AK176" s="512"/>
      <c r="AL176" s="514"/>
      <c r="AM176" s="514"/>
      <c r="AN176" s="513"/>
      <c r="AO176" s="449"/>
      <c r="AP176" s="441"/>
      <c r="AQ176" s="440"/>
      <c r="AR176" s="441"/>
      <c r="AS176" s="441"/>
      <c r="AT176" s="441"/>
      <c r="AU176" s="445"/>
    </row>
    <row r="177" spans="1:47" s="434" customFormat="1">
      <c r="A177" s="551"/>
      <c r="B177" s="436" t="s">
        <v>486</v>
      </c>
      <c r="C177" s="545">
        <f t="shared" si="101"/>
        <v>0</v>
      </c>
      <c r="D177" s="436"/>
      <c r="E177" s="436"/>
      <c r="F177" s="436"/>
      <c r="G177" s="436"/>
      <c r="H177" s="436"/>
      <c r="I177" s="436"/>
      <c r="J177" s="436"/>
      <c r="K177" s="465">
        <f t="shared" si="139"/>
        <v>1293</v>
      </c>
      <c r="L177" s="458">
        <f t="shared" si="140"/>
        <v>0</v>
      </c>
      <c r="M177" s="459">
        <f t="shared" si="141"/>
        <v>0</v>
      </c>
      <c r="N177" s="459">
        <f t="shared" si="142"/>
        <v>0</v>
      </c>
      <c r="O177" s="458">
        <f t="shared" si="143"/>
        <v>0</v>
      </c>
      <c r="P177" s="458"/>
      <c r="Q177" s="458"/>
      <c r="R177" s="458">
        <f t="shared" si="144"/>
        <v>0</v>
      </c>
      <c r="S177" s="458"/>
      <c r="T177" s="458"/>
      <c r="U177" s="458">
        <f t="shared" si="145"/>
        <v>0</v>
      </c>
      <c r="V177" s="458"/>
      <c r="W177" s="458"/>
      <c r="X177" s="523">
        <v>1293</v>
      </c>
      <c r="Y177" s="458">
        <f t="shared" si="102"/>
        <v>0</v>
      </c>
      <c r="Z177" s="458"/>
      <c r="AA177" s="458"/>
      <c r="AB177" s="458"/>
      <c r="AC177" s="458">
        <f t="shared" si="103"/>
        <v>0</v>
      </c>
      <c r="AD177" s="458"/>
      <c r="AE177" s="458"/>
      <c r="AF177" s="458"/>
      <c r="AG177" s="513">
        <f t="shared" si="104"/>
        <v>0</v>
      </c>
      <c r="AH177" s="512"/>
      <c r="AI177" s="512"/>
      <c r="AJ177" s="512"/>
      <c r="AK177" s="512"/>
      <c r="AL177" s="514"/>
      <c r="AM177" s="514"/>
      <c r="AN177" s="513"/>
      <c r="AO177" s="449"/>
      <c r="AP177" s="441"/>
      <c r="AQ177" s="440"/>
      <c r="AR177" s="441"/>
      <c r="AS177" s="441"/>
      <c r="AT177" s="441"/>
      <c r="AU177" s="445"/>
    </row>
    <row r="178" spans="1:47" s="434" customFormat="1" ht="31.5">
      <c r="A178" s="551"/>
      <c r="B178" s="436" t="s">
        <v>487</v>
      </c>
      <c r="C178" s="545">
        <f t="shared" si="101"/>
        <v>0</v>
      </c>
      <c r="D178" s="436"/>
      <c r="E178" s="436"/>
      <c r="F178" s="436"/>
      <c r="G178" s="436"/>
      <c r="H178" s="436"/>
      <c r="I178" s="436"/>
      <c r="J178" s="436"/>
      <c r="K178" s="465">
        <f t="shared" si="139"/>
        <v>2390</v>
      </c>
      <c r="L178" s="458">
        <f t="shared" si="140"/>
        <v>0</v>
      </c>
      <c r="M178" s="459">
        <f t="shared" si="141"/>
        <v>0</v>
      </c>
      <c r="N178" s="459">
        <f t="shared" si="142"/>
        <v>0</v>
      </c>
      <c r="O178" s="458">
        <f t="shared" si="143"/>
        <v>0</v>
      </c>
      <c r="P178" s="458"/>
      <c r="Q178" s="458"/>
      <c r="R178" s="458">
        <f t="shared" si="144"/>
        <v>0</v>
      </c>
      <c r="S178" s="458"/>
      <c r="T178" s="458"/>
      <c r="U178" s="458">
        <f t="shared" si="145"/>
        <v>0</v>
      </c>
      <c r="V178" s="458"/>
      <c r="W178" s="458"/>
      <c r="X178" s="523">
        <v>2390</v>
      </c>
      <c r="Y178" s="458">
        <f t="shared" si="102"/>
        <v>0</v>
      </c>
      <c r="Z178" s="458"/>
      <c r="AA178" s="458"/>
      <c r="AB178" s="458"/>
      <c r="AC178" s="458">
        <f t="shared" si="103"/>
        <v>0</v>
      </c>
      <c r="AD178" s="458"/>
      <c r="AE178" s="458"/>
      <c r="AF178" s="458"/>
      <c r="AG178" s="513">
        <f t="shared" si="104"/>
        <v>0</v>
      </c>
      <c r="AH178" s="512"/>
      <c r="AI178" s="512"/>
      <c r="AJ178" s="512"/>
      <c r="AK178" s="512"/>
      <c r="AL178" s="514"/>
      <c r="AM178" s="514"/>
      <c r="AN178" s="513"/>
      <c r="AO178" s="449"/>
      <c r="AP178" s="441"/>
      <c r="AQ178" s="440"/>
      <c r="AR178" s="441"/>
      <c r="AS178" s="441"/>
      <c r="AT178" s="441"/>
      <c r="AU178" s="445"/>
    </row>
    <row r="179" spans="1:47" s="434" customFormat="1">
      <c r="A179" s="551"/>
      <c r="B179" s="436" t="s">
        <v>488</v>
      </c>
      <c r="C179" s="545">
        <f t="shared" si="101"/>
        <v>0</v>
      </c>
      <c r="D179" s="436"/>
      <c r="E179" s="436"/>
      <c r="F179" s="436"/>
      <c r="G179" s="436"/>
      <c r="H179" s="436"/>
      <c r="I179" s="436"/>
      <c r="J179" s="436"/>
      <c r="K179" s="465">
        <f t="shared" si="139"/>
        <v>25000</v>
      </c>
      <c r="L179" s="458">
        <f t="shared" si="140"/>
        <v>0</v>
      </c>
      <c r="M179" s="459">
        <f t="shared" si="141"/>
        <v>0</v>
      </c>
      <c r="N179" s="459">
        <f t="shared" si="142"/>
        <v>0</v>
      </c>
      <c r="O179" s="458">
        <f t="shared" si="143"/>
        <v>0</v>
      </c>
      <c r="P179" s="458"/>
      <c r="Q179" s="458"/>
      <c r="R179" s="458">
        <f t="shared" si="144"/>
        <v>0</v>
      </c>
      <c r="S179" s="458"/>
      <c r="T179" s="458"/>
      <c r="U179" s="458">
        <f t="shared" si="145"/>
        <v>0</v>
      </c>
      <c r="V179" s="458"/>
      <c r="W179" s="458"/>
      <c r="X179" s="523">
        <v>25000</v>
      </c>
      <c r="Y179" s="458">
        <f t="shared" si="102"/>
        <v>0</v>
      </c>
      <c r="Z179" s="458"/>
      <c r="AA179" s="458"/>
      <c r="AB179" s="458"/>
      <c r="AC179" s="458">
        <f t="shared" si="103"/>
        <v>0</v>
      </c>
      <c r="AD179" s="458"/>
      <c r="AE179" s="458"/>
      <c r="AF179" s="458"/>
      <c r="AG179" s="513">
        <f t="shared" si="104"/>
        <v>0</v>
      </c>
      <c r="AH179" s="512"/>
      <c r="AI179" s="512"/>
      <c r="AJ179" s="512"/>
      <c r="AK179" s="512"/>
      <c r="AL179" s="514"/>
      <c r="AM179" s="514"/>
      <c r="AN179" s="513"/>
      <c r="AO179" s="449"/>
      <c r="AP179" s="441"/>
      <c r="AQ179" s="440"/>
      <c r="AR179" s="441"/>
      <c r="AS179" s="441"/>
      <c r="AT179" s="441"/>
      <c r="AU179" s="445"/>
    </row>
    <row r="180" spans="1:47" s="434" customFormat="1" ht="31.5">
      <c r="A180" s="551"/>
      <c r="B180" s="436" t="s">
        <v>489</v>
      </c>
      <c r="C180" s="545">
        <f t="shared" si="101"/>
        <v>0</v>
      </c>
      <c r="D180" s="436"/>
      <c r="E180" s="436"/>
      <c r="F180" s="436"/>
      <c r="G180" s="436"/>
      <c r="H180" s="436"/>
      <c r="I180" s="436"/>
      <c r="J180" s="436"/>
      <c r="K180" s="465">
        <f t="shared" si="139"/>
        <v>2000</v>
      </c>
      <c r="L180" s="458">
        <f t="shared" si="140"/>
        <v>0</v>
      </c>
      <c r="M180" s="459">
        <f t="shared" si="141"/>
        <v>0</v>
      </c>
      <c r="N180" s="459">
        <f t="shared" si="142"/>
        <v>0</v>
      </c>
      <c r="O180" s="458">
        <f t="shared" si="143"/>
        <v>0</v>
      </c>
      <c r="P180" s="458"/>
      <c r="Q180" s="458"/>
      <c r="R180" s="458">
        <f t="shared" si="144"/>
        <v>0</v>
      </c>
      <c r="S180" s="458"/>
      <c r="T180" s="458"/>
      <c r="U180" s="458">
        <f t="shared" si="145"/>
        <v>0</v>
      </c>
      <c r="V180" s="458"/>
      <c r="W180" s="458"/>
      <c r="X180" s="523">
        <v>2000</v>
      </c>
      <c r="Y180" s="458">
        <f t="shared" si="102"/>
        <v>0</v>
      </c>
      <c r="Z180" s="458"/>
      <c r="AA180" s="458"/>
      <c r="AB180" s="458"/>
      <c r="AC180" s="458">
        <f t="shared" si="103"/>
        <v>0</v>
      </c>
      <c r="AD180" s="458"/>
      <c r="AE180" s="458"/>
      <c r="AF180" s="458"/>
      <c r="AG180" s="513">
        <f t="shared" si="104"/>
        <v>0</v>
      </c>
      <c r="AH180" s="512"/>
      <c r="AI180" s="512"/>
      <c r="AJ180" s="512"/>
      <c r="AK180" s="512"/>
      <c r="AL180" s="514"/>
      <c r="AM180" s="514"/>
      <c r="AN180" s="513"/>
      <c r="AO180" s="449"/>
      <c r="AP180" s="441"/>
      <c r="AQ180" s="440"/>
      <c r="AR180" s="441"/>
      <c r="AS180" s="441"/>
      <c r="AT180" s="441"/>
      <c r="AU180" s="445"/>
    </row>
    <row r="181" spans="1:47" s="434" customFormat="1">
      <c r="A181" s="551">
        <v>2</v>
      </c>
      <c r="B181" s="433" t="s">
        <v>490</v>
      </c>
      <c r="C181" s="545">
        <f t="shared" si="101"/>
        <v>0</v>
      </c>
      <c r="D181" s="433"/>
      <c r="E181" s="433"/>
      <c r="F181" s="433"/>
      <c r="G181" s="433"/>
      <c r="H181" s="433"/>
      <c r="I181" s="433"/>
      <c r="J181" s="433"/>
      <c r="K181" s="465">
        <f>SUM(K182:K185)</f>
        <v>37098</v>
      </c>
      <c r="L181" s="465">
        <f t="shared" ref="L181:X181" si="146">SUM(L182:L185)</f>
        <v>0</v>
      </c>
      <c r="M181" s="465">
        <f t="shared" si="146"/>
        <v>0</v>
      </c>
      <c r="N181" s="465">
        <f t="shared" si="146"/>
        <v>0</v>
      </c>
      <c r="O181" s="465">
        <f t="shared" si="146"/>
        <v>0</v>
      </c>
      <c r="P181" s="465">
        <f t="shared" si="146"/>
        <v>0</v>
      </c>
      <c r="Q181" s="465">
        <f t="shared" si="146"/>
        <v>0</v>
      </c>
      <c r="R181" s="465">
        <f t="shared" si="146"/>
        <v>0</v>
      </c>
      <c r="S181" s="465">
        <f t="shared" si="146"/>
        <v>0</v>
      </c>
      <c r="T181" s="465">
        <f t="shared" si="146"/>
        <v>0</v>
      </c>
      <c r="U181" s="465">
        <f t="shared" si="146"/>
        <v>0</v>
      </c>
      <c r="V181" s="465">
        <f t="shared" si="146"/>
        <v>0</v>
      </c>
      <c r="W181" s="465">
        <f t="shared" si="146"/>
        <v>0</v>
      </c>
      <c r="X181" s="465">
        <f t="shared" si="146"/>
        <v>37098</v>
      </c>
      <c r="Y181" s="465">
        <f>SUM(Y182:Y185)</f>
        <v>0</v>
      </c>
      <c r="Z181" s="465">
        <f t="shared" ref="Z181" si="147">SUM(Z182:Z185)</f>
        <v>0</v>
      </c>
      <c r="AA181" s="465">
        <f t="shared" ref="AA181" si="148">SUM(AA182:AA185)</f>
        <v>0</v>
      </c>
      <c r="AB181" s="465">
        <f t="shared" ref="AB181" si="149">SUM(AB182:AB185)</f>
        <v>0</v>
      </c>
      <c r="AC181" s="465">
        <f t="shared" ref="AC181" si="150">SUM(AC182:AC185)</f>
        <v>0</v>
      </c>
      <c r="AD181" s="465">
        <f t="shared" ref="AD181" si="151">SUM(AD182:AD185)</f>
        <v>0</v>
      </c>
      <c r="AE181" s="465">
        <f t="shared" ref="AE181" si="152">SUM(AE182:AE185)</f>
        <v>0</v>
      </c>
      <c r="AF181" s="465">
        <f t="shared" ref="AF181" si="153">SUM(AF182:AF185)</f>
        <v>0</v>
      </c>
      <c r="AG181" s="513">
        <f t="shared" si="104"/>
        <v>0</v>
      </c>
      <c r="AH181" s="556"/>
      <c r="AI181" s="556"/>
      <c r="AJ181" s="556"/>
      <c r="AK181" s="556"/>
      <c r="AL181" s="515"/>
      <c r="AM181" s="515"/>
      <c r="AN181" s="512"/>
      <c r="AO181" s="449"/>
      <c r="AP181" s="441"/>
      <c r="AQ181" s="441"/>
      <c r="AR181" s="441"/>
      <c r="AS181" s="441"/>
      <c r="AT181" s="441"/>
      <c r="AU181" s="445"/>
    </row>
    <row r="182" spans="1:47" s="434" customFormat="1" ht="31.5">
      <c r="A182" s="551"/>
      <c r="B182" s="436" t="s">
        <v>491</v>
      </c>
      <c r="C182" s="545">
        <f t="shared" si="101"/>
        <v>0</v>
      </c>
      <c r="D182" s="436"/>
      <c r="E182" s="436"/>
      <c r="F182" s="436"/>
      <c r="G182" s="436"/>
      <c r="H182" s="436"/>
      <c r="I182" s="436"/>
      <c r="J182" s="436"/>
      <c r="K182" s="465">
        <f t="shared" ref="K182:K186" si="154">L182+U182+X182</f>
        <v>1185</v>
      </c>
      <c r="L182" s="458">
        <f t="shared" ref="L182:L186" si="155">M182+N182</f>
        <v>0</v>
      </c>
      <c r="M182" s="459">
        <f t="shared" ref="M182:M186" si="156">P182+S182</f>
        <v>0</v>
      </c>
      <c r="N182" s="459">
        <f t="shared" ref="N182:N186" si="157">Q182+T182</f>
        <v>0</v>
      </c>
      <c r="O182" s="458">
        <f t="shared" ref="O182:O186" si="158">P182+Q182</f>
        <v>0</v>
      </c>
      <c r="P182" s="458"/>
      <c r="Q182" s="458"/>
      <c r="R182" s="458">
        <f t="shared" ref="R182:R186" si="159">S182+T182</f>
        <v>0</v>
      </c>
      <c r="S182" s="458"/>
      <c r="T182" s="458"/>
      <c r="U182" s="458">
        <f t="shared" ref="U182:U186" si="160">V182+W182</f>
        <v>0</v>
      </c>
      <c r="V182" s="458"/>
      <c r="W182" s="458"/>
      <c r="X182" s="523">
        <v>1185</v>
      </c>
      <c r="Y182" s="458">
        <f t="shared" si="102"/>
        <v>0</v>
      </c>
      <c r="Z182" s="458"/>
      <c r="AA182" s="458"/>
      <c r="AB182" s="458"/>
      <c r="AC182" s="458">
        <f t="shared" si="103"/>
        <v>0</v>
      </c>
      <c r="AD182" s="458"/>
      <c r="AE182" s="458"/>
      <c r="AF182" s="458"/>
      <c r="AG182" s="513">
        <f t="shared" si="104"/>
        <v>0</v>
      </c>
      <c r="AH182" s="512"/>
      <c r="AI182" s="512"/>
      <c r="AJ182" s="512"/>
      <c r="AK182" s="512"/>
      <c r="AL182" s="514"/>
      <c r="AM182" s="514"/>
      <c r="AN182" s="513"/>
      <c r="AO182" s="449"/>
      <c r="AP182" s="441"/>
      <c r="AQ182" s="440"/>
      <c r="AR182" s="441"/>
      <c r="AS182" s="441"/>
      <c r="AT182" s="441"/>
      <c r="AU182" s="445"/>
    </row>
    <row r="183" spans="1:47" s="434" customFormat="1">
      <c r="A183" s="551"/>
      <c r="B183" s="436" t="s">
        <v>492</v>
      </c>
      <c r="C183" s="545">
        <f t="shared" si="101"/>
        <v>0</v>
      </c>
      <c r="D183" s="436"/>
      <c r="E183" s="436"/>
      <c r="F183" s="436"/>
      <c r="G183" s="436"/>
      <c r="H183" s="436"/>
      <c r="I183" s="436"/>
      <c r="J183" s="436"/>
      <c r="K183" s="465">
        <f t="shared" si="154"/>
        <v>980</v>
      </c>
      <c r="L183" s="458">
        <f t="shared" si="155"/>
        <v>0</v>
      </c>
      <c r="M183" s="459">
        <f t="shared" si="156"/>
        <v>0</v>
      </c>
      <c r="N183" s="459">
        <f t="shared" si="157"/>
        <v>0</v>
      </c>
      <c r="O183" s="458">
        <f t="shared" si="158"/>
        <v>0</v>
      </c>
      <c r="P183" s="458"/>
      <c r="Q183" s="458"/>
      <c r="R183" s="458">
        <f t="shared" si="159"/>
        <v>0</v>
      </c>
      <c r="S183" s="458"/>
      <c r="T183" s="458"/>
      <c r="U183" s="458">
        <f t="shared" si="160"/>
        <v>0</v>
      </c>
      <c r="V183" s="458"/>
      <c r="W183" s="458"/>
      <c r="X183" s="523">
        <v>980</v>
      </c>
      <c r="Y183" s="458">
        <f t="shared" si="102"/>
        <v>0</v>
      </c>
      <c r="Z183" s="458"/>
      <c r="AA183" s="458"/>
      <c r="AB183" s="458"/>
      <c r="AC183" s="458">
        <f t="shared" si="103"/>
        <v>0</v>
      </c>
      <c r="AD183" s="458"/>
      <c r="AE183" s="458"/>
      <c r="AF183" s="458"/>
      <c r="AG183" s="513">
        <f t="shared" si="104"/>
        <v>0</v>
      </c>
      <c r="AH183" s="512"/>
      <c r="AI183" s="512"/>
      <c r="AJ183" s="512"/>
      <c r="AK183" s="512"/>
      <c r="AL183" s="514"/>
      <c r="AM183" s="514"/>
      <c r="AN183" s="513"/>
      <c r="AO183" s="449"/>
      <c r="AP183" s="441"/>
      <c r="AQ183" s="440"/>
      <c r="AR183" s="441"/>
      <c r="AS183" s="441"/>
      <c r="AT183" s="441"/>
      <c r="AU183" s="445"/>
    </row>
    <row r="184" spans="1:47" s="434" customFormat="1">
      <c r="A184" s="551"/>
      <c r="B184" s="436" t="s">
        <v>493</v>
      </c>
      <c r="C184" s="545">
        <f t="shared" si="101"/>
        <v>0</v>
      </c>
      <c r="D184" s="436"/>
      <c r="E184" s="436"/>
      <c r="F184" s="436"/>
      <c r="G184" s="436"/>
      <c r="H184" s="436"/>
      <c r="I184" s="436"/>
      <c r="J184" s="436"/>
      <c r="K184" s="465">
        <f t="shared" si="154"/>
        <v>14933</v>
      </c>
      <c r="L184" s="458">
        <f t="shared" si="155"/>
        <v>0</v>
      </c>
      <c r="M184" s="459">
        <f t="shared" si="156"/>
        <v>0</v>
      </c>
      <c r="N184" s="459">
        <f t="shared" si="157"/>
        <v>0</v>
      </c>
      <c r="O184" s="458">
        <f t="shared" si="158"/>
        <v>0</v>
      </c>
      <c r="P184" s="458"/>
      <c r="Q184" s="458"/>
      <c r="R184" s="458">
        <f t="shared" si="159"/>
        <v>0</v>
      </c>
      <c r="S184" s="458"/>
      <c r="T184" s="458"/>
      <c r="U184" s="458">
        <f t="shared" si="160"/>
        <v>0</v>
      </c>
      <c r="V184" s="458"/>
      <c r="W184" s="458"/>
      <c r="X184" s="523">
        <v>14933</v>
      </c>
      <c r="Y184" s="458">
        <f t="shared" si="102"/>
        <v>0</v>
      </c>
      <c r="Z184" s="458"/>
      <c r="AA184" s="458"/>
      <c r="AB184" s="458"/>
      <c r="AC184" s="458">
        <f t="shared" si="103"/>
        <v>0</v>
      </c>
      <c r="AD184" s="458"/>
      <c r="AE184" s="458"/>
      <c r="AF184" s="458"/>
      <c r="AG184" s="513">
        <f t="shared" si="104"/>
        <v>0</v>
      </c>
      <c r="AH184" s="512"/>
      <c r="AI184" s="512"/>
      <c r="AJ184" s="512"/>
      <c r="AK184" s="512"/>
      <c r="AL184" s="514"/>
      <c r="AM184" s="514"/>
      <c r="AN184" s="513"/>
      <c r="AO184" s="449"/>
      <c r="AP184" s="441"/>
      <c r="AQ184" s="440"/>
      <c r="AR184" s="441"/>
      <c r="AS184" s="441"/>
      <c r="AT184" s="441"/>
      <c r="AU184" s="445"/>
    </row>
    <row r="185" spans="1:47" s="434" customFormat="1" ht="31.5">
      <c r="A185" s="551"/>
      <c r="B185" s="436" t="s">
        <v>494</v>
      </c>
      <c r="C185" s="545">
        <f t="shared" si="101"/>
        <v>0</v>
      </c>
      <c r="D185" s="436"/>
      <c r="E185" s="436"/>
      <c r="F185" s="436"/>
      <c r="G185" s="436"/>
      <c r="H185" s="436"/>
      <c r="I185" s="436"/>
      <c r="J185" s="436"/>
      <c r="K185" s="465">
        <f t="shared" si="154"/>
        <v>20000</v>
      </c>
      <c r="L185" s="458">
        <f t="shared" si="155"/>
        <v>0</v>
      </c>
      <c r="M185" s="459">
        <f t="shared" si="156"/>
        <v>0</v>
      </c>
      <c r="N185" s="459">
        <f t="shared" si="157"/>
        <v>0</v>
      </c>
      <c r="O185" s="458">
        <f t="shared" si="158"/>
        <v>0</v>
      </c>
      <c r="P185" s="458"/>
      <c r="Q185" s="458"/>
      <c r="R185" s="458">
        <f t="shared" si="159"/>
        <v>0</v>
      </c>
      <c r="S185" s="458"/>
      <c r="T185" s="458"/>
      <c r="U185" s="458">
        <f t="shared" si="160"/>
        <v>0</v>
      </c>
      <c r="V185" s="458"/>
      <c r="W185" s="458"/>
      <c r="X185" s="523">
        <v>20000</v>
      </c>
      <c r="Y185" s="458">
        <f t="shared" si="102"/>
        <v>0</v>
      </c>
      <c r="Z185" s="458"/>
      <c r="AA185" s="458"/>
      <c r="AB185" s="458"/>
      <c r="AC185" s="458">
        <f t="shared" si="103"/>
        <v>0</v>
      </c>
      <c r="AD185" s="458"/>
      <c r="AE185" s="458"/>
      <c r="AF185" s="458"/>
      <c r="AG185" s="513">
        <f t="shared" si="104"/>
        <v>0</v>
      </c>
      <c r="AH185" s="512"/>
      <c r="AI185" s="512"/>
      <c r="AJ185" s="512"/>
      <c r="AK185" s="512"/>
      <c r="AL185" s="514"/>
      <c r="AM185" s="514"/>
      <c r="AN185" s="513"/>
      <c r="AO185" s="449"/>
      <c r="AP185" s="441"/>
      <c r="AQ185" s="440"/>
      <c r="AR185" s="441"/>
      <c r="AS185" s="441"/>
      <c r="AT185" s="441"/>
      <c r="AU185" s="445"/>
    </row>
    <row r="186" spans="1:47" s="434" customFormat="1">
      <c r="A186" s="551">
        <v>3</v>
      </c>
      <c r="B186" s="433" t="s">
        <v>495</v>
      </c>
      <c r="C186" s="545">
        <f t="shared" si="101"/>
        <v>0</v>
      </c>
      <c r="D186" s="433"/>
      <c r="E186" s="433"/>
      <c r="F186" s="433"/>
      <c r="G186" s="433"/>
      <c r="H186" s="433"/>
      <c r="I186" s="433"/>
      <c r="J186" s="433"/>
      <c r="K186" s="465">
        <f t="shared" si="154"/>
        <v>79490</v>
      </c>
      <c r="L186" s="458">
        <f t="shared" si="155"/>
        <v>0</v>
      </c>
      <c r="M186" s="501">
        <f t="shared" si="156"/>
        <v>0</v>
      </c>
      <c r="N186" s="501">
        <f t="shared" si="157"/>
        <v>0</v>
      </c>
      <c r="O186" s="458">
        <f t="shared" si="158"/>
        <v>0</v>
      </c>
      <c r="P186" s="458"/>
      <c r="Q186" s="458"/>
      <c r="R186" s="458">
        <f t="shared" si="159"/>
        <v>0</v>
      </c>
      <c r="S186" s="458"/>
      <c r="T186" s="458"/>
      <c r="U186" s="458">
        <f t="shared" si="160"/>
        <v>0</v>
      </c>
      <c r="V186" s="458"/>
      <c r="W186" s="458"/>
      <c r="X186" s="522">
        <v>79490</v>
      </c>
      <c r="Y186" s="458">
        <f t="shared" si="102"/>
        <v>0</v>
      </c>
      <c r="Z186" s="458"/>
      <c r="AA186" s="458"/>
      <c r="AB186" s="458"/>
      <c r="AC186" s="458">
        <f t="shared" si="103"/>
        <v>0</v>
      </c>
      <c r="AD186" s="458"/>
      <c r="AE186" s="458"/>
      <c r="AF186" s="458"/>
      <c r="AG186" s="513">
        <f t="shared" si="104"/>
        <v>0</v>
      </c>
      <c r="AH186" s="512"/>
      <c r="AI186" s="512"/>
      <c r="AJ186" s="512"/>
      <c r="AK186" s="512"/>
      <c r="AL186" s="515"/>
      <c r="AM186" s="515"/>
      <c r="AN186" s="512"/>
      <c r="AO186" s="449"/>
      <c r="AP186" s="441"/>
      <c r="AQ186" s="441"/>
      <c r="AR186" s="441"/>
      <c r="AS186" s="441"/>
      <c r="AT186" s="441"/>
      <c r="AU186" s="445"/>
    </row>
    <row r="187" spans="1:47" s="434" customFormat="1">
      <c r="A187" s="428" t="s">
        <v>419</v>
      </c>
      <c r="B187" s="433" t="s">
        <v>424</v>
      </c>
      <c r="C187" s="545">
        <f t="shared" si="101"/>
        <v>0</v>
      </c>
      <c r="D187" s="433">
        <f>D188+D189</f>
        <v>0</v>
      </c>
      <c r="E187" s="433">
        <f t="shared" ref="E187:J187" si="161">E188+E189</f>
        <v>0</v>
      </c>
      <c r="F187" s="433">
        <f t="shared" si="161"/>
        <v>0</v>
      </c>
      <c r="G187" s="433">
        <f t="shared" ref="G187" si="162">G188+G189</f>
        <v>0</v>
      </c>
      <c r="H187" s="433">
        <f t="shared" ref="H187" si="163">H188+H189</f>
        <v>0</v>
      </c>
      <c r="I187" s="433">
        <f t="shared" si="161"/>
        <v>0</v>
      </c>
      <c r="J187" s="433">
        <f t="shared" si="161"/>
        <v>0</v>
      </c>
      <c r="K187" s="465">
        <f>K188+K189</f>
        <v>102967</v>
      </c>
      <c r="L187" s="465">
        <f t="shared" ref="L187:X187" si="164">L188+L189</f>
        <v>0</v>
      </c>
      <c r="M187" s="465">
        <f t="shared" si="164"/>
        <v>0</v>
      </c>
      <c r="N187" s="465">
        <f t="shared" si="164"/>
        <v>0</v>
      </c>
      <c r="O187" s="465">
        <f t="shared" si="164"/>
        <v>0</v>
      </c>
      <c r="P187" s="465">
        <f t="shared" si="164"/>
        <v>0</v>
      </c>
      <c r="Q187" s="465">
        <f t="shared" si="164"/>
        <v>0</v>
      </c>
      <c r="R187" s="465">
        <f t="shared" si="164"/>
        <v>0</v>
      </c>
      <c r="S187" s="465">
        <f t="shared" si="164"/>
        <v>0</v>
      </c>
      <c r="T187" s="465">
        <f t="shared" si="164"/>
        <v>0</v>
      </c>
      <c r="U187" s="465">
        <f t="shared" si="164"/>
        <v>0</v>
      </c>
      <c r="V187" s="465">
        <f t="shared" si="164"/>
        <v>0</v>
      </c>
      <c r="W187" s="465">
        <f t="shared" si="164"/>
        <v>0</v>
      </c>
      <c r="X187" s="465">
        <f t="shared" si="164"/>
        <v>102967</v>
      </c>
      <c r="Y187" s="465">
        <f t="shared" si="102"/>
        <v>0</v>
      </c>
      <c r="Z187" s="465">
        <f t="shared" ref="Z187:AA187" si="165">Z188+Z189</f>
        <v>0</v>
      </c>
      <c r="AA187" s="465">
        <f t="shared" si="165"/>
        <v>0</v>
      </c>
      <c r="AB187" s="465">
        <f t="shared" ref="AB187" si="166">AB188+AB189</f>
        <v>0</v>
      </c>
      <c r="AC187" s="465">
        <f t="shared" si="103"/>
        <v>0</v>
      </c>
      <c r="AD187" s="465">
        <f t="shared" ref="AD187" si="167">AD188+AD189</f>
        <v>0</v>
      </c>
      <c r="AE187" s="465"/>
      <c r="AF187" s="465">
        <f t="shared" ref="AF187" si="168">AF188+AF189</f>
        <v>0</v>
      </c>
      <c r="AG187" s="513">
        <f t="shared" si="104"/>
        <v>0</v>
      </c>
      <c r="AH187" s="556"/>
      <c r="AI187" s="556"/>
      <c r="AJ187" s="556"/>
      <c r="AK187" s="556"/>
      <c r="AL187" s="514">
        <f>V187</f>
        <v>0</v>
      </c>
      <c r="AM187" s="514">
        <f>X187</f>
        <v>102967</v>
      </c>
      <c r="AN187" s="513">
        <f>AB187+AL187+AM187</f>
        <v>102967</v>
      </c>
      <c r="AO187" s="449"/>
      <c r="AP187" s="441"/>
      <c r="AQ187" s="440"/>
      <c r="AR187" s="441"/>
      <c r="AS187" s="441"/>
      <c r="AT187" s="441"/>
      <c r="AU187" s="445"/>
    </row>
    <row r="188" spans="1:47" ht="31.5">
      <c r="A188" s="431"/>
      <c r="B188" s="436" t="s">
        <v>480</v>
      </c>
      <c r="C188" s="545">
        <f t="shared" si="101"/>
        <v>0</v>
      </c>
      <c r="D188" s="436"/>
      <c r="E188" s="436"/>
      <c r="F188" s="436"/>
      <c r="G188" s="436"/>
      <c r="H188" s="436"/>
      <c r="I188" s="436"/>
      <c r="J188" s="436"/>
      <c r="K188" s="465">
        <f t="shared" si="108"/>
        <v>33167</v>
      </c>
      <c r="L188" s="458">
        <f t="shared" ref="L188:L189" si="169">M188+N188</f>
        <v>0</v>
      </c>
      <c r="M188" s="459">
        <f t="shared" ref="M188:M189" si="170">P188+S188</f>
        <v>0</v>
      </c>
      <c r="N188" s="459">
        <f t="shared" ref="N188:N189" si="171">Q188+T188</f>
        <v>0</v>
      </c>
      <c r="O188" s="458">
        <f t="shared" ref="O188:O189" si="172">P188+Q188</f>
        <v>0</v>
      </c>
      <c r="P188" s="458"/>
      <c r="Q188" s="458"/>
      <c r="R188" s="458">
        <f t="shared" ref="R188:R189" si="173">S188+T188</f>
        <v>0</v>
      </c>
      <c r="S188" s="458"/>
      <c r="T188" s="458"/>
      <c r="U188" s="458">
        <f t="shared" ref="U188:U189" si="174">V188+W188</f>
        <v>0</v>
      </c>
      <c r="V188" s="458"/>
      <c r="W188" s="458"/>
      <c r="X188" s="522">
        <v>33167</v>
      </c>
      <c r="Y188" s="458">
        <f t="shared" si="102"/>
        <v>0</v>
      </c>
      <c r="Z188" s="458"/>
      <c r="AA188" s="458"/>
      <c r="AB188" s="458"/>
      <c r="AC188" s="458">
        <f t="shared" si="103"/>
        <v>0</v>
      </c>
      <c r="AD188" s="458"/>
      <c r="AE188" s="458"/>
      <c r="AF188" s="458"/>
      <c r="AG188" s="513">
        <f t="shared" si="104"/>
        <v>0</v>
      </c>
      <c r="AH188" s="512"/>
      <c r="AI188" s="512"/>
      <c r="AJ188" s="512"/>
      <c r="AK188" s="512"/>
      <c r="AL188" s="514"/>
      <c r="AM188" s="514"/>
      <c r="AN188" s="513"/>
      <c r="AO188" s="451"/>
    </row>
    <row r="189" spans="1:47" ht="31.5">
      <c r="A189" s="431"/>
      <c r="B189" s="436" t="s">
        <v>481</v>
      </c>
      <c r="C189" s="545">
        <f t="shared" si="101"/>
        <v>0</v>
      </c>
      <c r="D189" s="436"/>
      <c r="E189" s="436"/>
      <c r="F189" s="436"/>
      <c r="G189" s="436"/>
      <c r="H189" s="436"/>
      <c r="I189" s="436"/>
      <c r="J189" s="436"/>
      <c r="K189" s="465">
        <f t="shared" si="108"/>
        <v>69800</v>
      </c>
      <c r="L189" s="458">
        <f t="shared" si="169"/>
        <v>0</v>
      </c>
      <c r="M189" s="459">
        <f t="shared" si="170"/>
        <v>0</v>
      </c>
      <c r="N189" s="459">
        <f t="shared" si="171"/>
        <v>0</v>
      </c>
      <c r="O189" s="458">
        <f t="shared" si="172"/>
        <v>0</v>
      </c>
      <c r="P189" s="458"/>
      <c r="Q189" s="458"/>
      <c r="R189" s="458">
        <f t="shared" si="173"/>
        <v>0</v>
      </c>
      <c r="S189" s="458"/>
      <c r="T189" s="458"/>
      <c r="U189" s="458">
        <f t="shared" si="174"/>
        <v>0</v>
      </c>
      <c r="V189" s="458"/>
      <c r="W189" s="458"/>
      <c r="X189" s="522">
        <v>69800</v>
      </c>
      <c r="Y189" s="458">
        <f t="shared" si="102"/>
        <v>0</v>
      </c>
      <c r="Z189" s="458"/>
      <c r="AA189" s="458"/>
      <c r="AB189" s="458"/>
      <c r="AC189" s="458">
        <f t="shared" si="103"/>
        <v>0</v>
      </c>
      <c r="AD189" s="458"/>
      <c r="AE189" s="458"/>
      <c r="AF189" s="458"/>
      <c r="AG189" s="513">
        <f t="shared" si="104"/>
        <v>0</v>
      </c>
      <c r="AH189" s="512"/>
      <c r="AI189" s="512"/>
      <c r="AJ189" s="512"/>
      <c r="AK189" s="512"/>
      <c r="AL189" s="514"/>
      <c r="AM189" s="514"/>
      <c r="AN189" s="513"/>
      <c r="AO189" s="451"/>
    </row>
    <row r="190" spans="1:47" s="434" customFormat="1" ht="78.75">
      <c r="A190" s="428" t="s">
        <v>422</v>
      </c>
      <c r="B190" s="433" t="s">
        <v>439</v>
      </c>
      <c r="C190" s="545">
        <f t="shared" si="101"/>
        <v>0</v>
      </c>
      <c r="D190" s="433"/>
      <c r="E190" s="433"/>
      <c r="F190" s="433"/>
      <c r="G190" s="433"/>
      <c r="H190" s="433"/>
      <c r="I190" s="433"/>
      <c r="J190" s="433"/>
      <c r="K190" s="465" t="e">
        <f t="shared" si="108"/>
        <v>#REF!</v>
      </c>
      <c r="L190" s="458">
        <f t="shared" si="109"/>
        <v>0</v>
      </c>
      <c r="M190" s="459">
        <f t="shared" si="123"/>
        <v>0</v>
      </c>
      <c r="N190" s="459">
        <f t="shared" si="124"/>
        <v>0</v>
      </c>
      <c r="O190" s="458">
        <f t="shared" si="90"/>
        <v>0</v>
      </c>
      <c r="P190" s="458"/>
      <c r="Q190" s="458"/>
      <c r="R190" s="458">
        <f t="shared" si="125"/>
        <v>0</v>
      </c>
      <c r="S190" s="458"/>
      <c r="T190" s="458"/>
      <c r="U190" s="458">
        <f t="shared" si="91"/>
        <v>0</v>
      </c>
      <c r="V190" s="458"/>
      <c r="W190" s="458"/>
      <c r="X190" s="522" t="e">
        <f>'Bieu 17'!#REF!</f>
        <v>#REF!</v>
      </c>
      <c r="Y190" s="458">
        <f t="shared" si="102"/>
        <v>0</v>
      </c>
      <c r="Z190" s="458"/>
      <c r="AA190" s="458"/>
      <c r="AB190" s="458"/>
      <c r="AC190" s="458">
        <f t="shared" si="103"/>
        <v>0</v>
      </c>
      <c r="AD190" s="458"/>
      <c r="AE190" s="458"/>
      <c r="AF190" s="458"/>
      <c r="AG190" s="513">
        <f t="shared" si="104"/>
        <v>0</v>
      </c>
      <c r="AH190" s="512"/>
      <c r="AI190" s="512"/>
      <c r="AJ190" s="512"/>
      <c r="AK190" s="512"/>
      <c r="AL190" s="514"/>
      <c r="AM190" s="514"/>
      <c r="AN190" s="513">
        <f>AB190+AL190+AM190</f>
        <v>0</v>
      </c>
      <c r="AO190" s="449">
        <v>3120000</v>
      </c>
      <c r="AP190" s="441" t="e">
        <f>K190-AO190</f>
        <v>#REF!</v>
      </c>
      <c r="AQ190" s="440"/>
      <c r="AR190" s="441"/>
      <c r="AS190" s="441"/>
      <c r="AT190" s="441"/>
      <c r="AU190" s="445"/>
    </row>
    <row r="191" spans="1:47" s="434" customFormat="1" ht="31.5">
      <c r="A191" s="428" t="s">
        <v>423</v>
      </c>
      <c r="B191" s="433" t="s">
        <v>420</v>
      </c>
      <c r="C191" s="545">
        <f t="shared" si="101"/>
        <v>0</v>
      </c>
      <c r="D191" s="433"/>
      <c r="E191" s="433"/>
      <c r="F191" s="433"/>
      <c r="G191" s="433"/>
      <c r="H191" s="433"/>
      <c r="I191" s="433"/>
      <c r="J191" s="433"/>
      <c r="K191" s="465" t="e">
        <f t="shared" si="108"/>
        <v>#REF!</v>
      </c>
      <c r="L191" s="458">
        <f t="shared" si="109"/>
        <v>1450</v>
      </c>
      <c r="M191" s="459">
        <f t="shared" si="123"/>
        <v>0</v>
      </c>
      <c r="N191" s="459">
        <f t="shared" si="124"/>
        <v>1450</v>
      </c>
      <c r="O191" s="458">
        <f t="shared" si="90"/>
        <v>1450</v>
      </c>
      <c r="P191" s="458"/>
      <c r="Q191" s="458">
        <v>1450</v>
      </c>
      <c r="R191" s="458">
        <f t="shared" si="125"/>
        <v>0</v>
      </c>
      <c r="S191" s="458"/>
      <c r="T191" s="458"/>
      <c r="U191" s="458">
        <f t="shared" si="91"/>
        <v>0</v>
      </c>
      <c r="V191" s="458"/>
      <c r="W191" s="458"/>
      <c r="X191" s="522" t="e">
        <f>'Bieu 17'!#REF!</f>
        <v>#REF!</v>
      </c>
      <c r="Y191" s="458">
        <f t="shared" si="102"/>
        <v>0</v>
      </c>
      <c r="Z191" s="458"/>
      <c r="AA191" s="458"/>
      <c r="AB191" s="458"/>
      <c r="AC191" s="458">
        <f t="shared" si="103"/>
        <v>0</v>
      </c>
      <c r="AD191" s="458"/>
      <c r="AE191" s="458"/>
      <c r="AF191" s="458"/>
      <c r="AG191" s="513">
        <f t="shared" si="104"/>
        <v>1450</v>
      </c>
      <c r="AH191" s="512"/>
      <c r="AI191" s="512"/>
      <c r="AJ191" s="512"/>
      <c r="AK191" s="512"/>
      <c r="AL191" s="514">
        <f>V191</f>
        <v>0</v>
      </c>
      <c r="AM191" s="514" t="e">
        <f>X191</f>
        <v>#REF!</v>
      </c>
      <c r="AN191" s="513" t="e">
        <f>AB191+AL191+AM191</f>
        <v>#REF!</v>
      </c>
      <c r="AO191" s="449"/>
      <c r="AP191" s="441"/>
      <c r="AQ191" s="440"/>
      <c r="AR191" s="441"/>
      <c r="AS191" s="441"/>
      <c r="AT191" s="441"/>
      <c r="AU191" s="445"/>
    </row>
    <row r="192" spans="1:47" s="434" customFormat="1" ht="78.75">
      <c r="A192" s="428" t="s">
        <v>425</v>
      </c>
      <c r="B192" s="433" t="s">
        <v>475</v>
      </c>
      <c r="C192" s="545">
        <f t="shared" si="101"/>
        <v>0</v>
      </c>
      <c r="D192" s="433"/>
      <c r="E192" s="433"/>
      <c r="F192" s="433"/>
      <c r="G192" s="433"/>
      <c r="H192" s="433"/>
      <c r="I192" s="433"/>
      <c r="J192" s="433"/>
      <c r="K192" s="465" t="e">
        <f>L192+U192+X192</f>
        <v>#REF!</v>
      </c>
      <c r="L192" s="458">
        <f t="shared" si="109"/>
        <v>0</v>
      </c>
      <c r="M192" s="459">
        <f t="shared" si="123"/>
        <v>0</v>
      </c>
      <c r="N192" s="459">
        <f t="shared" si="124"/>
        <v>0</v>
      </c>
      <c r="O192" s="458">
        <f t="shared" si="90"/>
        <v>0</v>
      </c>
      <c r="P192" s="458"/>
      <c r="Q192" s="458"/>
      <c r="R192" s="458">
        <f t="shared" si="125"/>
        <v>0</v>
      </c>
      <c r="S192" s="458"/>
      <c r="T192" s="458"/>
      <c r="U192" s="458">
        <f t="shared" si="91"/>
        <v>0</v>
      </c>
      <c r="V192" s="458"/>
      <c r="W192" s="458"/>
      <c r="X192" s="522" t="e">
        <f>'Bieu 17'!#REF!</f>
        <v>#REF!</v>
      </c>
      <c r="Y192" s="458">
        <f t="shared" si="102"/>
        <v>0</v>
      </c>
      <c r="Z192" s="458"/>
      <c r="AA192" s="458"/>
      <c r="AB192" s="458"/>
      <c r="AC192" s="458">
        <f t="shared" si="103"/>
        <v>0</v>
      </c>
      <c r="AD192" s="458"/>
      <c r="AE192" s="458"/>
      <c r="AF192" s="458"/>
      <c r="AG192" s="513">
        <f t="shared" si="104"/>
        <v>0</v>
      </c>
      <c r="AH192" s="512"/>
      <c r="AI192" s="512"/>
      <c r="AJ192" s="512"/>
      <c r="AK192" s="512"/>
      <c r="AL192" s="515"/>
      <c r="AM192" s="515"/>
      <c r="AN192" s="513">
        <f>I192-AB192</f>
        <v>0</v>
      </c>
      <c r="AO192" s="449"/>
      <c r="AP192" s="441"/>
      <c r="AQ192" s="440"/>
      <c r="AR192" s="441"/>
      <c r="AS192" s="441"/>
      <c r="AT192" s="441"/>
      <c r="AU192" s="445"/>
    </row>
    <row r="193" spans="1:47" s="434" customFormat="1" ht="47.25">
      <c r="A193" s="428" t="s">
        <v>460</v>
      </c>
      <c r="B193" s="433" t="s">
        <v>466</v>
      </c>
      <c r="C193" s="545">
        <f t="shared" si="101"/>
        <v>0</v>
      </c>
      <c r="D193" s="433"/>
      <c r="E193" s="433"/>
      <c r="F193" s="433"/>
      <c r="G193" s="433"/>
      <c r="H193" s="433"/>
      <c r="I193" s="433"/>
      <c r="J193" s="433"/>
      <c r="K193" s="465">
        <f t="shared" si="108"/>
        <v>13000</v>
      </c>
      <c r="L193" s="458">
        <f t="shared" si="109"/>
        <v>0</v>
      </c>
      <c r="M193" s="459">
        <f t="shared" si="123"/>
        <v>0</v>
      </c>
      <c r="N193" s="459">
        <f t="shared" si="124"/>
        <v>0</v>
      </c>
      <c r="O193" s="458"/>
      <c r="P193" s="458"/>
      <c r="Q193" s="458"/>
      <c r="R193" s="458">
        <f t="shared" si="125"/>
        <v>0</v>
      </c>
      <c r="S193" s="458"/>
      <c r="T193" s="458"/>
      <c r="U193" s="458">
        <f t="shared" si="91"/>
        <v>13000</v>
      </c>
      <c r="V193" s="458">
        <v>13000</v>
      </c>
      <c r="W193" s="458"/>
      <c r="X193" s="522"/>
      <c r="Y193" s="458">
        <f t="shared" si="102"/>
        <v>0</v>
      </c>
      <c r="Z193" s="458"/>
      <c r="AA193" s="458"/>
      <c r="AB193" s="458"/>
      <c r="AC193" s="458">
        <f t="shared" si="103"/>
        <v>0</v>
      </c>
      <c r="AD193" s="458"/>
      <c r="AE193" s="458"/>
      <c r="AF193" s="458"/>
      <c r="AG193" s="513">
        <f t="shared" si="104"/>
        <v>13000</v>
      </c>
      <c r="AH193" s="512"/>
      <c r="AI193" s="512"/>
      <c r="AJ193" s="512"/>
      <c r="AK193" s="512"/>
      <c r="AL193" s="515"/>
      <c r="AM193" s="515"/>
      <c r="AN193" s="513">
        <f>I193-AB193</f>
        <v>0</v>
      </c>
      <c r="AO193" s="449"/>
      <c r="AP193" s="441"/>
      <c r="AQ193" s="440"/>
      <c r="AR193" s="441"/>
      <c r="AS193" s="441"/>
      <c r="AT193" s="441"/>
      <c r="AU193" s="445"/>
    </row>
    <row r="194" spans="1:47">
      <c r="A194" s="437"/>
      <c r="B194" s="438"/>
      <c r="C194" s="438"/>
      <c r="D194" s="438"/>
      <c r="E194" s="438"/>
      <c r="F194" s="438"/>
      <c r="G194" s="438"/>
      <c r="H194" s="438"/>
      <c r="I194" s="477"/>
      <c r="J194" s="477"/>
      <c r="K194" s="438"/>
      <c r="L194" s="438"/>
      <c r="M194" s="438"/>
      <c r="N194" s="438"/>
      <c r="O194" s="438"/>
      <c r="P194" s="438"/>
      <c r="Q194" s="438"/>
      <c r="R194" s="438"/>
      <c r="S194" s="438"/>
      <c r="T194" s="438"/>
      <c r="U194" s="438"/>
      <c r="V194" s="438"/>
      <c r="W194" s="438"/>
      <c r="Y194" s="438"/>
      <c r="Z194" s="438"/>
      <c r="AA194" s="438"/>
      <c r="AB194" s="438"/>
      <c r="AC194" s="438"/>
      <c r="AD194" s="438"/>
      <c r="AE194" s="438"/>
      <c r="AF194" s="438"/>
      <c r="AG194" s="513">
        <f t="shared" si="104"/>
        <v>0</v>
      </c>
      <c r="AH194" s="557"/>
      <c r="AI194" s="557"/>
      <c r="AJ194" s="557"/>
      <c r="AK194" s="557"/>
      <c r="AN194" s="513"/>
    </row>
    <row r="195" spans="1:47">
      <c r="I195" s="440"/>
      <c r="J195" s="440"/>
      <c r="AN195" s="513"/>
    </row>
    <row r="196" spans="1:47">
      <c r="I196" s="440"/>
      <c r="J196" s="440"/>
      <c r="AN196" s="513"/>
    </row>
    <row r="197" spans="1:47">
      <c r="I197" s="440"/>
      <c r="J197" s="440"/>
      <c r="AN197" s="513"/>
    </row>
    <row r="198" spans="1:47">
      <c r="I198" s="440"/>
      <c r="J198" s="440"/>
      <c r="Q198" s="542">
        <f>Q40-Q41+Q46-Q47+Q66-Q67+Q82-Q83-Q84+Q96-Q97+Q104-Q105+Q112-Q113+Q127-Q128+Q140-Q141-Q142+Q149-Q150+Q160-Q161+Q169-Q170</f>
        <v>680241</v>
      </c>
      <c r="AN198" s="513"/>
    </row>
    <row r="199" spans="1:47">
      <c r="I199" s="440"/>
      <c r="J199" s="440"/>
      <c r="Q199" s="425">
        <f>Q65+Q81+Q95+Q126+Q139+Q158</f>
        <v>671880</v>
      </c>
      <c r="AN199" s="513"/>
    </row>
    <row r="200" spans="1:47">
      <c r="I200" s="440"/>
      <c r="J200" s="440"/>
      <c r="AN200" s="513"/>
    </row>
    <row r="201" spans="1:47">
      <c r="I201" s="440"/>
      <c r="J201" s="440"/>
      <c r="AN201" s="513"/>
    </row>
    <row r="202" spans="1:47">
      <c r="I202" s="440"/>
      <c r="J202" s="440"/>
      <c r="AN202" s="513"/>
    </row>
    <row r="203" spans="1:47">
      <c r="I203" s="440"/>
      <c r="J203" s="440"/>
      <c r="AN203" s="513"/>
    </row>
    <row r="204" spans="1:47">
      <c r="I204" s="440"/>
      <c r="J204" s="440"/>
      <c r="AN204" s="513"/>
    </row>
    <row r="205" spans="1:47">
      <c r="I205" s="440"/>
      <c r="J205" s="440"/>
      <c r="AN205" s="513"/>
    </row>
    <row r="206" spans="1:47">
      <c r="I206" s="440"/>
      <c r="J206" s="440"/>
      <c r="AN206" s="513"/>
    </row>
    <row r="207" spans="1:47">
      <c r="I207" s="440"/>
      <c r="J207" s="440"/>
      <c r="AN207" s="513"/>
    </row>
    <row r="208" spans="1:47">
      <c r="I208" s="440"/>
      <c r="J208" s="440"/>
      <c r="AN208" s="513"/>
    </row>
    <row r="209" spans="9:40">
      <c r="I209" s="440"/>
      <c r="J209" s="440"/>
      <c r="AN209" s="513"/>
    </row>
    <row r="210" spans="9:40">
      <c r="I210" s="440"/>
      <c r="J210" s="440"/>
      <c r="AN210" s="513"/>
    </row>
    <row r="211" spans="9:40">
      <c r="I211" s="440"/>
      <c r="J211" s="440"/>
      <c r="AN211" s="513"/>
    </row>
    <row r="212" spans="9:40">
      <c r="I212" s="440"/>
      <c r="J212" s="440"/>
      <c r="AN212" s="513"/>
    </row>
    <row r="213" spans="9:40">
      <c r="I213" s="440"/>
      <c r="J213" s="440"/>
      <c r="AN213" s="513"/>
    </row>
    <row r="214" spans="9:40">
      <c r="I214" s="440"/>
      <c r="J214" s="440"/>
      <c r="AN214" s="513"/>
    </row>
    <row r="215" spans="9:40">
      <c r="I215" s="440"/>
      <c r="J215" s="440"/>
      <c r="AN215" s="513"/>
    </row>
    <row r="216" spans="9:40">
      <c r="I216" s="440"/>
      <c r="J216" s="440"/>
      <c r="AN216" s="513"/>
    </row>
    <row r="217" spans="9:40">
      <c r="I217" s="440"/>
      <c r="J217" s="440"/>
      <c r="AN217" s="513"/>
    </row>
    <row r="218" spans="9:40">
      <c r="I218" s="440"/>
      <c r="J218" s="440"/>
      <c r="AN218" s="513"/>
    </row>
    <row r="219" spans="9:40">
      <c r="I219" s="440"/>
      <c r="J219" s="440"/>
      <c r="AN219" s="513"/>
    </row>
    <row r="220" spans="9:40">
      <c r="I220" s="440"/>
      <c r="J220" s="440"/>
      <c r="K220" s="425" t="e">
        <f>K192+K190+10000+100000+14445+K18+K24+K29</f>
        <v>#REF!</v>
      </c>
      <c r="AN220" s="513">
        <f>I220-AB220</f>
        <v>0</v>
      </c>
    </row>
    <row r="221" spans="9:40">
      <c r="S221" s="444">
        <v>6179170</v>
      </c>
      <c r="Z221" s="444">
        <v>6179170</v>
      </c>
      <c r="AA221" s="444"/>
      <c r="AD221" s="444">
        <v>6179170</v>
      </c>
      <c r="AE221" s="444"/>
    </row>
    <row r="222" spans="9:40">
      <c r="S222" s="425" t="e">
        <f>K192+K190+K29+#REF!+K23+K18</f>
        <v>#REF!</v>
      </c>
      <c r="Z222" s="425" t="e">
        <f>R192+R190+R29+#REF!+R23+R18</f>
        <v>#REF!</v>
      </c>
      <c r="AA222" s="425"/>
      <c r="AD222" s="425" t="e">
        <f>U192+U190+U29+#REF!+U23+U18</f>
        <v>#REF!</v>
      </c>
      <c r="AE222" s="425"/>
      <c r="AL222" s="444"/>
      <c r="AM222" s="444"/>
      <c r="AN222" s="426">
        <f>AB222-13304400</f>
        <v>-13304400</v>
      </c>
    </row>
    <row r="223" spans="9:40">
      <c r="S223" s="500" t="e">
        <f>S221-S222</f>
        <v>#REF!</v>
      </c>
      <c r="Z223" s="500" t="e">
        <f>Z221-Z222</f>
        <v>#REF!</v>
      </c>
      <c r="AA223" s="500"/>
      <c r="AD223" s="500" t="e">
        <f>AD221-AD222</f>
        <v>#REF!</v>
      </c>
      <c r="AE223" s="500"/>
      <c r="AL223" s="444"/>
      <c r="AM223" s="444"/>
    </row>
    <row r="224" spans="9:40">
      <c r="AL224" s="444"/>
      <c r="AM224" s="444"/>
    </row>
    <row r="225" spans="15:39">
      <c r="AL225" s="444"/>
      <c r="AM225" s="444"/>
    </row>
    <row r="226" spans="15:39">
      <c r="AL226" s="444"/>
      <c r="AM226" s="444"/>
    </row>
    <row r="227" spans="15:39">
      <c r="AL227" s="444"/>
      <c r="AM227" s="444"/>
    </row>
    <row r="234" spans="15:39">
      <c r="O234" s="425"/>
    </row>
  </sheetData>
  <mergeCells count="41">
    <mergeCell ref="AC6:AF6"/>
    <mergeCell ref="AC7:AC8"/>
    <mergeCell ref="AD7:AD8"/>
    <mergeCell ref="AF7:AF8"/>
    <mergeCell ref="Y5:AF5"/>
    <mergeCell ref="AA7:AA8"/>
    <mergeCell ref="AE7:AE8"/>
    <mergeCell ref="Y6:AB6"/>
    <mergeCell ref="Y7:Y8"/>
    <mergeCell ref="Z7:Z8"/>
    <mergeCell ref="AB7:AB8"/>
    <mergeCell ref="A1:X1"/>
    <mergeCell ref="A2:X2"/>
    <mergeCell ref="U7:U8"/>
    <mergeCell ref="V7:V8"/>
    <mergeCell ref="A4:A8"/>
    <mergeCell ref="L7:L8"/>
    <mergeCell ref="M7:M8"/>
    <mergeCell ref="N7:N8"/>
    <mergeCell ref="L4:X4"/>
    <mergeCell ref="X5:X8"/>
    <mergeCell ref="L6:N6"/>
    <mergeCell ref="C4:J4"/>
    <mergeCell ref="C5:C8"/>
    <mergeCell ref="D5:J7"/>
    <mergeCell ref="AQ5:AS5"/>
    <mergeCell ref="A34:A35"/>
    <mergeCell ref="O6:Q6"/>
    <mergeCell ref="O7:O8"/>
    <mergeCell ref="P7:P8"/>
    <mergeCell ref="Q7:Q8"/>
    <mergeCell ref="L5:T5"/>
    <mergeCell ref="U5:W6"/>
    <mergeCell ref="R6:T6"/>
    <mergeCell ref="B4:B8"/>
    <mergeCell ref="W7:W8"/>
    <mergeCell ref="K4:K8"/>
    <mergeCell ref="R7:R8"/>
    <mergeCell ref="S7:S8"/>
    <mergeCell ref="T7:T8"/>
    <mergeCell ref="AG5:AG9"/>
  </mergeCells>
  <pageMargins left="0.31496062992125984" right="0" top="0.74803149606299213" bottom="0.55118110236220474" header="0.31496062992125984" footer="0.31496062992125984"/>
  <pageSetup paperSize="9" scale="62" orientation="landscape" verticalDpi="0" r:id="rId1"/>
  <headerFooter>
    <oddHeader>&amp;R&amp;D/&amp;T</oddHeader>
    <oddFooter>&amp;C&amp;P/&amp;N</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49"/>
  <sheetViews>
    <sheetView workbookViewId="0">
      <pane xSplit="2" ySplit="7" topLeftCell="C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421" bestFit="1" customWidth="1"/>
    <col min="2" max="2" width="31" style="420" customWidth="1"/>
    <col min="3" max="7" width="14.140625" style="420" customWidth="1"/>
    <col min="8" max="16" width="13" style="420" customWidth="1"/>
    <col min="17" max="17" width="11.28515625" style="420" customWidth="1"/>
    <col min="18" max="29" width="9.140625" style="420"/>
    <col min="30" max="30" width="11" style="420" customWidth="1"/>
    <col min="31" max="31" width="9.140625" style="420"/>
    <col min="32" max="32" width="10.7109375" style="420" customWidth="1"/>
    <col min="33" max="36" width="9.140625" style="420"/>
    <col min="37" max="37" width="9.5703125" style="420" bestFit="1" customWidth="1"/>
    <col min="38" max="38" width="11.140625" style="420" customWidth="1"/>
    <col min="39" max="39" width="9.140625" style="420"/>
    <col min="40" max="40" width="10.5703125" style="420" customWidth="1"/>
    <col min="41" max="16384" width="9.140625" style="420"/>
  </cols>
  <sheetData>
    <row r="1" spans="1:46" ht="22.5" customHeight="1">
      <c r="A1" s="1095" t="s">
        <v>473</v>
      </c>
      <c r="B1" s="1095"/>
      <c r="C1" s="1095"/>
      <c r="D1" s="1095"/>
      <c r="E1" s="1095"/>
      <c r="F1" s="1095"/>
      <c r="G1" s="1095"/>
      <c r="H1" s="1095"/>
      <c r="I1" s="1095"/>
      <c r="J1" s="1095"/>
      <c r="K1" s="560"/>
      <c r="L1" s="560"/>
      <c r="M1" s="560"/>
      <c r="N1" s="560"/>
      <c r="O1" s="560"/>
      <c r="P1" s="560"/>
      <c r="R1" s="420">
        <v>73885</v>
      </c>
    </row>
    <row r="2" spans="1:46">
      <c r="B2" s="422"/>
      <c r="C2" s="422"/>
      <c r="D2" s="422"/>
      <c r="E2" s="422"/>
      <c r="F2" s="422"/>
      <c r="G2" s="422"/>
      <c r="H2" s="422"/>
      <c r="I2" s="422"/>
      <c r="J2" s="422"/>
      <c r="K2" s="422"/>
      <c r="L2" s="422"/>
      <c r="M2" s="422"/>
      <c r="N2" s="422"/>
      <c r="O2" s="422"/>
      <c r="P2" s="422"/>
    </row>
    <row r="3" spans="1:46" ht="16.5" customHeight="1">
      <c r="A3" s="1093" t="s">
        <v>378</v>
      </c>
      <c r="B3" s="1093" t="s">
        <v>379</v>
      </c>
      <c r="C3" s="1101" t="s">
        <v>518</v>
      </c>
      <c r="D3" s="1101" t="s">
        <v>519</v>
      </c>
      <c r="E3" s="1097" t="s">
        <v>520</v>
      </c>
      <c r="F3" s="1097"/>
      <c r="G3" s="1097"/>
      <c r="H3" s="1097"/>
      <c r="I3" s="1097"/>
      <c r="J3" s="1097"/>
      <c r="K3" s="1108" t="s">
        <v>521</v>
      </c>
      <c r="L3" s="1108" t="s">
        <v>471</v>
      </c>
      <c r="M3" s="1108"/>
      <c r="N3" s="1108" t="s">
        <v>524</v>
      </c>
      <c r="O3" s="1108" t="s">
        <v>471</v>
      </c>
      <c r="P3" s="1108"/>
      <c r="Q3" s="1107" t="s">
        <v>510</v>
      </c>
      <c r="R3" s="1107" t="s">
        <v>471</v>
      </c>
      <c r="S3" s="1107"/>
      <c r="T3" s="1107" t="s">
        <v>380</v>
      </c>
      <c r="U3" s="1107"/>
      <c r="V3" s="1107"/>
      <c r="W3" s="1107"/>
      <c r="X3" s="1107"/>
      <c r="Y3" s="1107"/>
      <c r="Z3" s="1107"/>
      <c r="AA3" s="1107"/>
      <c r="AB3" s="1107"/>
      <c r="AC3" s="1107"/>
      <c r="AD3" s="1107" t="s">
        <v>354</v>
      </c>
      <c r="AE3" s="1107" t="s">
        <v>471</v>
      </c>
      <c r="AF3" s="1107"/>
      <c r="AG3" s="1107" t="s">
        <v>380</v>
      </c>
      <c r="AH3" s="1107"/>
      <c r="AI3" s="1107"/>
      <c r="AJ3" s="1107"/>
      <c r="AK3" s="1107"/>
      <c r="AL3" s="1107"/>
      <c r="AM3" s="1107"/>
      <c r="AN3" s="1107"/>
      <c r="AO3" s="1107"/>
      <c r="AP3" s="1107"/>
      <c r="AR3" s="1115" t="s">
        <v>531</v>
      </c>
      <c r="AS3" s="1115"/>
      <c r="AT3" s="1115"/>
    </row>
    <row r="4" spans="1:46" ht="21.75" customHeight="1">
      <c r="A4" s="1093"/>
      <c r="B4" s="1093"/>
      <c r="C4" s="1102"/>
      <c r="D4" s="1102"/>
      <c r="E4" s="1109" t="s">
        <v>381</v>
      </c>
      <c r="F4" s="1110"/>
      <c r="G4" s="1111"/>
      <c r="H4" s="1092" t="s">
        <v>382</v>
      </c>
      <c r="I4" s="1092"/>
      <c r="J4" s="1092"/>
      <c r="K4" s="1108"/>
      <c r="L4" s="1108"/>
      <c r="M4" s="1108"/>
      <c r="N4" s="1108"/>
      <c r="O4" s="1108"/>
      <c r="P4" s="1108"/>
      <c r="Q4" s="1107"/>
      <c r="R4" s="1107"/>
      <c r="S4" s="1107"/>
      <c r="T4" s="1107"/>
      <c r="U4" s="1107"/>
      <c r="V4" s="1107"/>
      <c r="W4" s="1107"/>
      <c r="X4" s="1107"/>
      <c r="Y4" s="1107"/>
      <c r="Z4" s="1107"/>
      <c r="AA4" s="1107"/>
      <c r="AB4" s="1107"/>
      <c r="AC4" s="1107"/>
      <c r="AD4" s="1107"/>
      <c r="AE4" s="1107"/>
      <c r="AF4" s="1107"/>
      <c r="AG4" s="1107"/>
      <c r="AH4" s="1107"/>
      <c r="AI4" s="1107"/>
      <c r="AJ4" s="1107"/>
      <c r="AK4" s="1107"/>
      <c r="AL4" s="1107"/>
      <c r="AM4" s="1107"/>
      <c r="AN4" s="1107"/>
      <c r="AO4" s="1107"/>
      <c r="AP4" s="1107"/>
      <c r="AR4" s="1115"/>
      <c r="AS4" s="1115"/>
      <c r="AT4" s="1115"/>
    </row>
    <row r="5" spans="1:46" ht="36" customHeight="1">
      <c r="A5" s="1093"/>
      <c r="B5" s="1093"/>
      <c r="C5" s="1102"/>
      <c r="D5" s="1102"/>
      <c r="E5" s="1112"/>
      <c r="F5" s="1113"/>
      <c r="G5" s="1114"/>
      <c r="H5" s="1092"/>
      <c r="I5" s="1092"/>
      <c r="J5" s="1092"/>
      <c r="K5" s="1108"/>
      <c r="L5" s="1108"/>
      <c r="M5" s="1108"/>
      <c r="N5" s="1108"/>
      <c r="O5" s="1108"/>
      <c r="P5" s="1108"/>
      <c r="Q5" s="1107"/>
      <c r="R5" s="1107" t="s">
        <v>509</v>
      </c>
      <c r="S5" s="1107" t="s">
        <v>508</v>
      </c>
      <c r="T5" s="1092" t="s">
        <v>513</v>
      </c>
      <c r="U5" s="1092" t="s">
        <v>515</v>
      </c>
      <c r="V5" s="1092" t="s">
        <v>516</v>
      </c>
      <c r="W5" s="1092" t="s">
        <v>517</v>
      </c>
      <c r="X5" s="1092" t="s">
        <v>511</v>
      </c>
      <c r="Y5" s="1092" t="s">
        <v>512</v>
      </c>
      <c r="Z5" s="1092" t="s">
        <v>514</v>
      </c>
      <c r="AA5" s="1092" t="s">
        <v>471</v>
      </c>
      <c r="AB5" s="1092"/>
      <c r="AC5" s="1092" t="s">
        <v>499</v>
      </c>
      <c r="AD5" s="1107"/>
      <c r="AE5" s="1107"/>
      <c r="AF5" s="1107"/>
      <c r="AG5" s="1092" t="s">
        <v>504</v>
      </c>
      <c r="AH5" s="1092" t="s">
        <v>515</v>
      </c>
      <c r="AI5" s="1092" t="s">
        <v>516</v>
      </c>
      <c r="AJ5" s="1092" t="s">
        <v>517</v>
      </c>
      <c r="AK5" s="1092" t="s">
        <v>511</v>
      </c>
      <c r="AL5" s="1092" t="s">
        <v>514</v>
      </c>
      <c r="AM5" s="1092" t="s">
        <v>471</v>
      </c>
      <c r="AN5" s="1092"/>
      <c r="AO5" s="1092" t="s">
        <v>499</v>
      </c>
      <c r="AP5" s="1092" t="s">
        <v>512</v>
      </c>
      <c r="AR5" s="1115"/>
      <c r="AS5" s="1115"/>
      <c r="AT5" s="1115"/>
    </row>
    <row r="6" spans="1:46" ht="18.75" customHeight="1">
      <c r="A6" s="1093"/>
      <c r="B6" s="1093"/>
      <c r="C6" s="1102"/>
      <c r="D6" s="1102"/>
      <c r="E6" s="1092" t="s">
        <v>405</v>
      </c>
      <c r="F6" s="1092" t="s">
        <v>403</v>
      </c>
      <c r="G6" s="1092" t="s">
        <v>402</v>
      </c>
      <c r="H6" s="1092" t="s">
        <v>405</v>
      </c>
      <c r="I6" s="1092" t="s">
        <v>500</v>
      </c>
      <c r="J6" s="1092" t="s">
        <v>476</v>
      </c>
      <c r="K6" s="1108"/>
      <c r="L6" s="1108"/>
      <c r="M6" s="1108"/>
      <c r="N6" s="1108"/>
      <c r="O6" s="1108"/>
      <c r="P6" s="1108"/>
      <c r="Q6" s="1107"/>
      <c r="R6" s="1107"/>
      <c r="S6" s="1107"/>
      <c r="T6" s="1092"/>
      <c r="U6" s="1092"/>
      <c r="V6" s="1092"/>
      <c r="W6" s="1092"/>
      <c r="X6" s="1092"/>
      <c r="Y6" s="1092"/>
      <c r="Z6" s="1092"/>
      <c r="AA6" s="1092"/>
      <c r="AB6" s="1092"/>
      <c r="AC6" s="1092"/>
      <c r="AD6" s="1107"/>
      <c r="AE6" s="1107"/>
      <c r="AF6" s="1107"/>
      <c r="AG6" s="1092"/>
      <c r="AH6" s="1092"/>
      <c r="AI6" s="1092"/>
      <c r="AJ6" s="1092"/>
      <c r="AK6" s="1092"/>
      <c r="AL6" s="1092"/>
      <c r="AM6" s="1092"/>
      <c r="AN6" s="1092"/>
      <c r="AO6" s="1092"/>
      <c r="AP6" s="1092"/>
      <c r="AR6" s="1115"/>
      <c r="AS6" s="1115"/>
      <c r="AT6" s="1115"/>
    </row>
    <row r="7" spans="1:46" ht="49.5" customHeight="1">
      <c r="A7" s="1093"/>
      <c r="B7" s="1093"/>
      <c r="C7" s="1103"/>
      <c r="D7" s="1103"/>
      <c r="E7" s="1092"/>
      <c r="F7" s="1092"/>
      <c r="G7" s="1092"/>
      <c r="H7" s="1092"/>
      <c r="I7" s="1092"/>
      <c r="J7" s="1092"/>
      <c r="K7" s="1108"/>
      <c r="L7" s="571" t="s">
        <v>403</v>
      </c>
      <c r="M7" s="571" t="s">
        <v>522</v>
      </c>
      <c r="N7" s="1108"/>
      <c r="O7" s="571" t="s">
        <v>403</v>
      </c>
      <c r="P7" s="571" t="s">
        <v>522</v>
      </c>
      <c r="Q7" s="1107"/>
      <c r="R7" s="1107"/>
      <c r="S7" s="1107"/>
      <c r="T7" s="1092"/>
      <c r="U7" s="1092"/>
      <c r="V7" s="1092"/>
      <c r="W7" s="1092"/>
      <c r="X7" s="1092"/>
      <c r="Y7" s="1092"/>
      <c r="Z7" s="1092"/>
      <c r="AA7" s="570" t="s">
        <v>509</v>
      </c>
      <c r="AB7" s="570" t="s">
        <v>508</v>
      </c>
      <c r="AC7" s="1092"/>
      <c r="AD7" s="1107"/>
      <c r="AE7" s="550" t="s">
        <v>509</v>
      </c>
      <c r="AF7" s="550" t="s">
        <v>508</v>
      </c>
      <c r="AG7" s="1092"/>
      <c r="AH7" s="1092"/>
      <c r="AI7" s="1092"/>
      <c r="AJ7" s="1092"/>
      <c r="AK7" s="1092"/>
      <c r="AL7" s="1092"/>
      <c r="AM7" s="570" t="s">
        <v>509</v>
      </c>
      <c r="AN7" s="570" t="s">
        <v>508</v>
      </c>
      <c r="AO7" s="1092"/>
      <c r="AP7" s="1092"/>
      <c r="AR7" s="420" t="s">
        <v>353</v>
      </c>
      <c r="AS7" s="420" t="s">
        <v>354</v>
      </c>
      <c r="AT7" s="420" t="s">
        <v>405</v>
      </c>
    </row>
    <row r="8" spans="1:46" ht="18.75" customHeight="1">
      <c r="A8" s="562"/>
      <c r="B8" s="537" t="s">
        <v>384</v>
      </c>
      <c r="C8" s="545">
        <f t="shared" ref="C8:J8" si="0">C9+C32+C174+C175+C190+C193+C194+C195+C196</f>
        <v>11757974</v>
      </c>
      <c r="D8" s="545">
        <f t="shared" si="0"/>
        <v>14017277</v>
      </c>
      <c r="E8" s="545">
        <f t="shared" si="0"/>
        <v>5142668</v>
      </c>
      <c r="F8" s="545">
        <f t="shared" si="0"/>
        <v>2451250</v>
      </c>
      <c r="G8" s="545">
        <f t="shared" si="0"/>
        <v>2691418</v>
      </c>
      <c r="H8" s="545">
        <f t="shared" si="0"/>
        <v>6615306</v>
      </c>
      <c r="I8" s="545">
        <f t="shared" si="0"/>
        <v>6615306</v>
      </c>
      <c r="J8" s="545">
        <f t="shared" si="0"/>
        <v>0</v>
      </c>
      <c r="K8" s="572">
        <f>L8+M8</f>
        <v>2464674</v>
      </c>
      <c r="L8" s="545">
        <f>T8+AG8</f>
        <v>0</v>
      </c>
      <c r="M8" s="545">
        <f>M9+M32+M174+M175+M190+M193+M194+M195+M196</f>
        <v>2464674</v>
      </c>
      <c r="N8" s="572">
        <f>O8+P8</f>
        <v>518719</v>
      </c>
      <c r="O8" s="545">
        <f>Y8+AP8</f>
        <v>0</v>
      </c>
      <c r="P8" s="545">
        <f t="shared" ref="P8:AP8" si="1">P9+P32+P174+P175+P190+P193+P194+P195+P196</f>
        <v>518719</v>
      </c>
      <c r="Q8" s="572">
        <f t="shared" si="1"/>
        <v>409403</v>
      </c>
      <c r="R8" s="545">
        <f t="shared" si="1"/>
        <v>409403</v>
      </c>
      <c r="S8" s="545">
        <f t="shared" si="1"/>
        <v>0</v>
      </c>
      <c r="T8" s="545">
        <f t="shared" si="1"/>
        <v>0</v>
      </c>
      <c r="U8" s="545">
        <f t="shared" si="1"/>
        <v>0</v>
      </c>
      <c r="V8" s="545">
        <f t="shared" si="1"/>
        <v>0</v>
      </c>
      <c r="W8" s="545">
        <f t="shared" si="1"/>
        <v>0</v>
      </c>
      <c r="X8" s="545">
        <f t="shared" si="1"/>
        <v>409403</v>
      </c>
      <c r="Y8" s="545">
        <f t="shared" si="1"/>
        <v>0</v>
      </c>
      <c r="Z8" s="545">
        <f t="shared" si="1"/>
        <v>0</v>
      </c>
      <c r="AA8" s="545">
        <f t="shared" si="1"/>
        <v>0</v>
      </c>
      <c r="AB8" s="545">
        <f t="shared" si="1"/>
        <v>0</v>
      </c>
      <c r="AC8" s="545">
        <f t="shared" si="1"/>
        <v>0</v>
      </c>
      <c r="AD8" s="572">
        <f t="shared" si="1"/>
        <v>-1133493</v>
      </c>
      <c r="AE8" s="545">
        <f t="shared" si="1"/>
        <v>166715</v>
      </c>
      <c r="AF8" s="545">
        <f t="shared" si="1"/>
        <v>-1300208</v>
      </c>
      <c r="AG8" s="545">
        <f t="shared" si="1"/>
        <v>0</v>
      </c>
      <c r="AH8" s="545">
        <f t="shared" si="1"/>
        <v>0</v>
      </c>
      <c r="AI8" s="545">
        <f t="shared" si="1"/>
        <v>0</v>
      </c>
      <c r="AJ8" s="545">
        <f t="shared" si="1"/>
        <v>0</v>
      </c>
      <c r="AK8" s="545">
        <f t="shared" si="1"/>
        <v>153715</v>
      </c>
      <c r="AL8" s="545">
        <f t="shared" si="1"/>
        <v>-1287208</v>
      </c>
      <c r="AM8" s="545">
        <f t="shared" si="1"/>
        <v>13000</v>
      </c>
      <c r="AN8" s="545">
        <f t="shared" si="1"/>
        <v>-1300208</v>
      </c>
      <c r="AO8" s="545">
        <f t="shared" si="1"/>
        <v>0</v>
      </c>
      <c r="AP8" s="545">
        <f t="shared" si="1"/>
        <v>0</v>
      </c>
      <c r="AT8" s="420">
        <f>AR8+AS8</f>
        <v>0</v>
      </c>
    </row>
    <row r="9" spans="1:46" ht="20.25" customHeight="1">
      <c r="A9" s="561" t="s">
        <v>17</v>
      </c>
      <c r="B9" s="429" t="s">
        <v>385</v>
      </c>
      <c r="C9" s="489">
        <f>C10+C25+C26+C27+C30+C31</f>
        <v>874680</v>
      </c>
      <c r="D9" s="489">
        <f>D10+D25+D26+D31+D27+D30</f>
        <v>3512214</v>
      </c>
      <c r="E9" s="495">
        <f>F9+G9</f>
        <v>544680</v>
      </c>
      <c r="F9" s="495">
        <f>F10+F25+F26+F31+F27+F30</f>
        <v>84000</v>
      </c>
      <c r="G9" s="495">
        <f>G10+G25+G26+G31+G27+G30</f>
        <v>460680</v>
      </c>
      <c r="H9" s="495">
        <f>I9+J9</f>
        <v>330000</v>
      </c>
      <c r="I9" s="495">
        <f>I10+I25+I26+I31+I27+I30</f>
        <v>330000</v>
      </c>
      <c r="J9" s="495">
        <f>J10+J25+J26+J31+J27+J30</f>
        <v>0</v>
      </c>
      <c r="K9" s="489">
        <f t="shared" ref="K9:K73" si="2">L9+M9</f>
        <v>2195131</v>
      </c>
      <c r="L9" s="489">
        <f t="shared" ref="L9:L72" si="3">T9+AG9</f>
        <v>0</v>
      </c>
      <c r="M9" s="495">
        <f>M10+M25+M26+M31+M27+M30</f>
        <v>2195131</v>
      </c>
      <c r="N9" s="489">
        <f t="shared" ref="N9:N73" si="4">O9+P9</f>
        <v>0</v>
      </c>
      <c r="O9" s="489">
        <f t="shared" ref="O9:O73" si="5">Y9+AP9</f>
        <v>0</v>
      </c>
      <c r="P9" s="495">
        <f>P10+P25+P26+P31+P27+P30</f>
        <v>0</v>
      </c>
      <c r="Q9" s="495">
        <f t="shared" ref="Q9:AP9" si="6">Q10+Q25+Q26+Q31+Q27+Q30</f>
        <v>409403</v>
      </c>
      <c r="R9" s="495">
        <f t="shared" si="6"/>
        <v>409403</v>
      </c>
      <c r="S9" s="495">
        <f t="shared" si="6"/>
        <v>0</v>
      </c>
      <c r="T9" s="495">
        <f t="shared" si="6"/>
        <v>0</v>
      </c>
      <c r="U9" s="495">
        <f t="shared" si="6"/>
        <v>0</v>
      </c>
      <c r="V9" s="495">
        <f t="shared" si="6"/>
        <v>0</v>
      </c>
      <c r="W9" s="495">
        <f t="shared" si="6"/>
        <v>0</v>
      </c>
      <c r="X9" s="495">
        <f t="shared" si="6"/>
        <v>409403</v>
      </c>
      <c r="Y9" s="495">
        <f t="shared" si="6"/>
        <v>0</v>
      </c>
      <c r="Z9" s="495">
        <f>Z10+Z25+Z26+Z31+Z27+Z30</f>
        <v>0</v>
      </c>
      <c r="AA9" s="495">
        <f t="shared" si="6"/>
        <v>0</v>
      </c>
      <c r="AB9" s="495">
        <f t="shared" si="6"/>
        <v>0</v>
      </c>
      <c r="AC9" s="495">
        <f t="shared" si="6"/>
        <v>0</v>
      </c>
      <c r="AD9" s="495">
        <f t="shared" si="6"/>
        <v>33000</v>
      </c>
      <c r="AE9" s="495">
        <f t="shared" si="6"/>
        <v>33000</v>
      </c>
      <c r="AF9" s="495">
        <f t="shared" si="6"/>
        <v>0</v>
      </c>
      <c r="AG9" s="495">
        <f t="shared" si="6"/>
        <v>0</v>
      </c>
      <c r="AH9" s="495">
        <f t="shared" si="6"/>
        <v>0</v>
      </c>
      <c r="AI9" s="495">
        <f t="shared" si="6"/>
        <v>0</v>
      </c>
      <c r="AJ9" s="495">
        <f t="shared" si="6"/>
        <v>0</v>
      </c>
      <c r="AK9" s="495">
        <f t="shared" si="6"/>
        <v>33000</v>
      </c>
      <c r="AL9" s="495">
        <f t="shared" si="6"/>
        <v>0</v>
      </c>
      <c r="AM9" s="495">
        <f t="shared" si="6"/>
        <v>0</v>
      </c>
      <c r="AN9" s="495">
        <f t="shared" si="6"/>
        <v>0</v>
      </c>
      <c r="AO9" s="495">
        <f t="shared" si="6"/>
        <v>0</v>
      </c>
      <c r="AP9" s="495">
        <f t="shared" si="6"/>
        <v>0</v>
      </c>
    </row>
    <row r="10" spans="1:46">
      <c r="A10" s="431">
        <v>1</v>
      </c>
      <c r="B10" s="473" t="s">
        <v>410</v>
      </c>
      <c r="C10" s="488">
        <f>C11+C12+C13+C14+C15</f>
        <v>794680</v>
      </c>
      <c r="D10" s="488">
        <f>E10+H10+M10+P10+Q10+AD10</f>
        <v>3432214</v>
      </c>
      <c r="E10" s="462">
        <f>F10+G10</f>
        <v>464680</v>
      </c>
      <c r="F10" s="462">
        <f>SUM(F11:F15)</f>
        <v>4000</v>
      </c>
      <c r="G10" s="462">
        <f>SUM(G11:G15)</f>
        <v>460680</v>
      </c>
      <c r="H10" s="462">
        <f t="shared" ref="H10:H31" si="7">I10+J10</f>
        <v>330000</v>
      </c>
      <c r="I10" s="462">
        <f>SUM(I11:I15)</f>
        <v>330000</v>
      </c>
      <c r="J10" s="462">
        <f>SUM(J11:J15)</f>
        <v>0</v>
      </c>
      <c r="K10" s="489">
        <f t="shared" si="2"/>
        <v>2195131</v>
      </c>
      <c r="L10" s="489">
        <f t="shared" si="3"/>
        <v>0</v>
      </c>
      <c r="M10" s="462">
        <f>SUM(M11:M15)</f>
        <v>2195131</v>
      </c>
      <c r="N10" s="489">
        <f t="shared" si="4"/>
        <v>0</v>
      </c>
      <c r="O10" s="489">
        <f t="shared" si="5"/>
        <v>0</v>
      </c>
      <c r="P10" s="462">
        <f>SUM(P11:P15)</f>
        <v>0</v>
      </c>
      <c r="Q10" s="462">
        <f t="shared" ref="Q10:AP10" si="8">SUM(Q11:Q15)</f>
        <v>409403</v>
      </c>
      <c r="R10" s="462">
        <f>SUM(R11:R15)</f>
        <v>409403</v>
      </c>
      <c r="S10" s="462">
        <f t="shared" si="8"/>
        <v>0</v>
      </c>
      <c r="T10" s="462">
        <f t="shared" si="8"/>
        <v>0</v>
      </c>
      <c r="U10" s="462">
        <f t="shared" si="8"/>
        <v>0</v>
      </c>
      <c r="V10" s="462">
        <f t="shared" si="8"/>
        <v>0</v>
      </c>
      <c r="W10" s="462">
        <f t="shared" si="8"/>
        <v>0</v>
      </c>
      <c r="X10" s="462">
        <f t="shared" si="8"/>
        <v>409403</v>
      </c>
      <c r="Y10" s="462">
        <f t="shared" si="8"/>
        <v>0</v>
      </c>
      <c r="Z10" s="462">
        <f>SUM(Z11:Z15)</f>
        <v>0</v>
      </c>
      <c r="AA10" s="462">
        <f t="shared" si="8"/>
        <v>0</v>
      </c>
      <c r="AB10" s="462">
        <f t="shared" si="8"/>
        <v>0</v>
      </c>
      <c r="AC10" s="462">
        <f t="shared" si="8"/>
        <v>0</v>
      </c>
      <c r="AD10" s="462">
        <f t="shared" si="8"/>
        <v>33000</v>
      </c>
      <c r="AE10" s="462">
        <f t="shared" si="8"/>
        <v>33000</v>
      </c>
      <c r="AF10" s="462">
        <f t="shared" si="8"/>
        <v>0</v>
      </c>
      <c r="AG10" s="462">
        <f t="shared" si="8"/>
        <v>0</v>
      </c>
      <c r="AH10" s="462">
        <f t="shared" si="8"/>
        <v>0</v>
      </c>
      <c r="AI10" s="462">
        <f t="shared" si="8"/>
        <v>0</v>
      </c>
      <c r="AJ10" s="462">
        <f t="shared" si="8"/>
        <v>0</v>
      </c>
      <c r="AK10" s="462">
        <f t="shared" si="8"/>
        <v>33000</v>
      </c>
      <c r="AL10" s="462">
        <f t="shared" si="8"/>
        <v>0</v>
      </c>
      <c r="AM10" s="462">
        <f t="shared" si="8"/>
        <v>0</v>
      </c>
      <c r="AN10" s="462">
        <f t="shared" si="8"/>
        <v>0</v>
      </c>
      <c r="AO10" s="462">
        <f t="shared" si="8"/>
        <v>0</v>
      </c>
      <c r="AP10" s="462">
        <f t="shared" si="8"/>
        <v>0</v>
      </c>
    </row>
    <row r="11" spans="1:46" ht="20.25" customHeight="1">
      <c r="A11" s="431" t="s">
        <v>45</v>
      </c>
      <c r="B11" s="473" t="s">
        <v>409</v>
      </c>
      <c r="C11" s="488">
        <f>E11+H11</f>
        <v>790680</v>
      </c>
      <c r="D11" s="488">
        <f>E11+H11+M11+P11+Q11+AD11</f>
        <v>869860</v>
      </c>
      <c r="E11" s="462">
        <f>F11+G11</f>
        <v>460680</v>
      </c>
      <c r="F11" s="462"/>
      <c r="G11" s="462">
        <f>790680-I11</f>
        <v>460680</v>
      </c>
      <c r="H11" s="462">
        <f t="shared" si="7"/>
        <v>330000</v>
      </c>
      <c r="I11" s="462">
        <f>330000</f>
        <v>330000</v>
      </c>
      <c r="J11" s="462"/>
      <c r="K11" s="489">
        <f t="shared" si="2"/>
        <v>0</v>
      </c>
      <c r="L11" s="489">
        <f t="shared" si="3"/>
        <v>0</v>
      </c>
      <c r="M11" s="462"/>
      <c r="N11" s="489">
        <f t="shared" si="4"/>
        <v>0</v>
      </c>
      <c r="O11" s="489">
        <f t="shared" si="5"/>
        <v>0</v>
      </c>
      <c r="P11" s="462"/>
      <c r="Q11" s="462">
        <f>R11+S11</f>
        <v>46180</v>
      </c>
      <c r="R11" s="462">
        <f>T11+U11+V11+W11+X11+Y11+AA11</f>
        <v>46180</v>
      </c>
      <c r="S11" s="462">
        <f>AB11</f>
        <v>0</v>
      </c>
      <c r="T11" s="462"/>
      <c r="U11" s="462"/>
      <c r="V11" s="462"/>
      <c r="W11" s="462"/>
      <c r="X11" s="462">
        <v>46180</v>
      </c>
      <c r="Y11" s="462"/>
      <c r="Z11" s="462">
        <f>AB11+AA11</f>
        <v>0</v>
      </c>
      <c r="AA11" s="462"/>
      <c r="AB11" s="462"/>
      <c r="AC11" s="462"/>
      <c r="AD11" s="462">
        <f>AE11+AF11</f>
        <v>33000</v>
      </c>
      <c r="AE11" s="462">
        <f>AG11+AH11+AI11+AJ11+AK11+AM11+AO11+AP11</f>
        <v>33000</v>
      </c>
      <c r="AF11" s="462">
        <f>AN11</f>
        <v>0</v>
      </c>
      <c r="AG11" s="462"/>
      <c r="AH11" s="462"/>
      <c r="AI11" s="462"/>
      <c r="AJ11" s="462"/>
      <c r="AK11" s="462">
        <v>33000</v>
      </c>
      <c r="AL11" s="462">
        <f>AM11+AN11</f>
        <v>0</v>
      </c>
      <c r="AM11" s="462"/>
      <c r="AN11" s="462"/>
      <c r="AO11" s="462"/>
      <c r="AP11" s="462"/>
    </row>
    <row r="12" spans="1:46" ht="20.25" customHeight="1">
      <c r="A12" s="431" t="s">
        <v>56</v>
      </c>
      <c r="B12" s="473" t="s">
        <v>411</v>
      </c>
      <c r="C12" s="488">
        <f t="shared" ref="C12:C31" si="9">E12+H12</f>
        <v>0</v>
      </c>
      <c r="D12" s="488">
        <f t="shared" ref="D12:D31" si="10">E12+H12+M12+P12+Q12+AD12</f>
        <v>489799</v>
      </c>
      <c r="E12" s="462">
        <f t="shared" ref="E12:E31" si="11">F12+G12</f>
        <v>0</v>
      </c>
      <c r="F12" s="462"/>
      <c r="G12" s="462"/>
      <c r="H12" s="462">
        <f t="shared" si="7"/>
        <v>0</v>
      </c>
      <c r="I12" s="462"/>
      <c r="J12" s="462"/>
      <c r="K12" s="489">
        <f t="shared" si="2"/>
        <v>489799</v>
      </c>
      <c r="L12" s="489">
        <f t="shared" si="3"/>
        <v>0</v>
      </c>
      <c r="M12" s="462">
        <f>489799-L12</f>
        <v>489799</v>
      </c>
      <c r="N12" s="489">
        <f t="shared" si="4"/>
        <v>0</v>
      </c>
      <c r="O12" s="489">
        <f t="shared" si="5"/>
        <v>0</v>
      </c>
      <c r="P12" s="462"/>
      <c r="Q12" s="462">
        <f t="shared" ref="Q12:Q14" si="12">R12+S12</f>
        <v>0</v>
      </c>
      <c r="R12" s="462">
        <f t="shared" ref="R12:R14" si="13">T12+U12+V12+W12+X12+Y12+AA12</f>
        <v>0</v>
      </c>
      <c r="S12" s="462">
        <f t="shared" ref="S12:S14" si="14">AB12</f>
        <v>0</v>
      </c>
      <c r="T12" s="462"/>
      <c r="U12" s="462"/>
      <c r="V12" s="462"/>
      <c r="W12" s="462"/>
      <c r="X12" s="462"/>
      <c r="Y12" s="462"/>
      <c r="Z12" s="462">
        <f t="shared" ref="Z12:Z14" si="15">AB12+AA12</f>
        <v>0</v>
      </c>
      <c r="AA12" s="462"/>
      <c r="AB12" s="462"/>
      <c r="AC12" s="462"/>
      <c r="AD12" s="462">
        <f t="shared" ref="AD12:AD14" si="16">AE12+AF12</f>
        <v>0</v>
      </c>
      <c r="AE12" s="462">
        <f t="shared" ref="AE12:AE14" si="17">AG12+AH12+AI12+AJ12+AK12+AM12+AO12+AP12</f>
        <v>0</v>
      </c>
      <c r="AF12" s="462">
        <f t="shared" ref="AF12:AF14" si="18">AN12</f>
        <v>0</v>
      </c>
      <c r="AG12" s="462"/>
      <c r="AH12" s="462"/>
      <c r="AI12" s="462"/>
      <c r="AJ12" s="462"/>
      <c r="AK12" s="462"/>
      <c r="AL12" s="462">
        <f t="shared" ref="AL12:AL14" si="19">AM12+AN12</f>
        <v>0</v>
      </c>
      <c r="AM12" s="462"/>
      <c r="AN12" s="462"/>
      <c r="AO12" s="462"/>
      <c r="AP12" s="462"/>
    </row>
    <row r="13" spans="1:46" ht="20.25" customHeight="1">
      <c r="A13" s="431" t="s">
        <v>59</v>
      </c>
      <c r="B13" s="473" t="s">
        <v>412</v>
      </c>
      <c r="C13" s="488">
        <f t="shared" si="9"/>
        <v>0</v>
      </c>
      <c r="D13" s="488">
        <f t="shared" si="10"/>
        <v>369954</v>
      </c>
      <c r="E13" s="462">
        <f>F13+G13</f>
        <v>0</v>
      </c>
      <c r="F13" s="462"/>
      <c r="G13" s="462"/>
      <c r="H13" s="462">
        <f t="shared" si="7"/>
        <v>0</v>
      </c>
      <c r="I13" s="462"/>
      <c r="J13" s="462"/>
      <c r="K13" s="489">
        <f t="shared" si="2"/>
        <v>369954</v>
      </c>
      <c r="L13" s="489">
        <f t="shared" si="3"/>
        <v>0</v>
      </c>
      <c r="M13" s="462">
        <f>192854+177100-L13</f>
        <v>369954</v>
      </c>
      <c r="N13" s="489">
        <f t="shared" si="4"/>
        <v>0</v>
      </c>
      <c r="O13" s="489">
        <f t="shared" si="5"/>
        <v>0</v>
      </c>
      <c r="P13" s="462"/>
      <c r="Q13" s="462">
        <f t="shared" si="12"/>
        <v>0</v>
      </c>
      <c r="R13" s="462">
        <f t="shared" si="13"/>
        <v>0</v>
      </c>
      <c r="S13" s="462">
        <f t="shared" si="14"/>
        <v>0</v>
      </c>
      <c r="T13" s="462"/>
      <c r="U13" s="462"/>
      <c r="V13" s="462"/>
      <c r="W13" s="462"/>
      <c r="X13" s="462"/>
      <c r="Y13" s="462"/>
      <c r="Z13" s="462">
        <f t="shared" si="15"/>
        <v>0</v>
      </c>
      <c r="AA13" s="462"/>
      <c r="AB13" s="462"/>
      <c r="AC13" s="462"/>
      <c r="AD13" s="462">
        <f t="shared" si="16"/>
        <v>0</v>
      </c>
      <c r="AE13" s="462">
        <f t="shared" si="17"/>
        <v>0</v>
      </c>
      <c r="AF13" s="462">
        <f t="shared" si="18"/>
        <v>0</v>
      </c>
      <c r="AG13" s="462"/>
      <c r="AH13" s="462"/>
      <c r="AI13" s="462"/>
      <c r="AJ13" s="462"/>
      <c r="AK13" s="462"/>
      <c r="AL13" s="462">
        <f t="shared" si="19"/>
        <v>0</v>
      </c>
      <c r="AM13" s="462"/>
      <c r="AN13" s="462"/>
      <c r="AO13" s="462"/>
      <c r="AP13" s="462"/>
    </row>
    <row r="14" spans="1:46" ht="31.5">
      <c r="A14" s="431" t="s">
        <v>413</v>
      </c>
      <c r="B14" s="473" t="s">
        <v>478</v>
      </c>
      <c r="C14" s="488">
        <f t="shared" si="9"/>
        <v>0</v>
      </c>
      <c r="D14" s="488">
        <f t="shared" si="10"/>
        <v>1335378</v>
      </c>
      <c r="E14" s="462">
        <f>F14+G14</f>
        <v>0</v>
      </c>
      <c r="F14" s="462"/>
      <c r="G14" s="462"/>
      <c r="H14" s="462">
        <f t="shared" si="7"/>
        <v>0</v>
      </c>
      <c r="I14" s="462"/>
      <c r="J14" s="462"/>
      <c r="K14" s="489">
        <f t="shared" si="2"/>
        <v>1335378</v>
      </c>
      <c r="L14" s="489">
        <f t="shared" si="3"/>
        <v>0</v>
      </c>
      <c r="M14" s="462">
        <f>972378+363000-L14</f>
        <v>1335378</v>
      </c>
      <c r="N14" s="489">
        <f t="shared" si="4"/>
        <v>0</v>
      </c>
      <c r="O14" s="489">
        <f t="shared" si="5"/>
        <v>0</v>
      </c>
      <c r="P14" s="462"/>
      <c r="Q14" s="462">
        <f t="shared" si="12"/>
        <v>0</v>
      </c>
      <c r="R14" s="462">
        <f t="shared" si="13"/>
        <v>0</v>
      </c>
      <c r="S14" s="462">
        <f t="shared" si="14"/>
        <v>0</v>
      </c>
      <c r="T14" s="462"/>
      <c r="U14" s="462"/>
      <c r="V14" s="462"/>
      <c r="W14" s="462"/>
      <c r="X14" s="462"/>
      <c r="Y14" s="462"/>
      <c r="Z14" s="462">
        <f t="shared" si="15"/>
        <v>0</v>
      </c>
      <c r="AA14" s="462"/>
      <c r="AB14" s="462"/>
      <c r="AC14" s="462"/>
      <c r="AD14" s="462">
        <f t="shared" si="16"/>
        <v>0</v>
      </c>
      <c r="AE14" s="462">
        <f t="shared" si="17"/>
        <v>0</v>
      </c>
      <c r="AF14" s="462">
        <f t="shared" si="18"/>
        <v>0</v>
      </c>
      <c r="AG14" s="462"/>
      <c r="AH14" s="462"/>
      <c r="AI14" s="462"/>
      <c r="AJ14" s="462"/>
      <c r="AK14" s="462"/>
      <c r="AL14" s="462">
        <f t="shared" si="19"/>
        <v>0</v>
      </c>
      <c r="AM14" s="462"/>
      <c r="AN14" s="462"/>
      <c r="AO14" s="462"/>
      <c r="AP14" s="462"/>
    </row>
    <row r="15" spans="1:46" ht="20.25" customHeight="1">
      <c r="A15" s="431" t="s">
        <v>414</v>
      </c>
      <c r="B15" s="473" t="s">
        <v>415</v>
      </c>
      <c r="C15" s="488">
        <f t="shared" si="9"/>
        <v>4000</v>
      </c>
      <c r="D15" s="488">
        <f t="shared" si="10"/>
        <v>367223</v>
      </c>
      <c r="E15" s="462">
        <f t="shared" ref="E15:I15" si="20">E16+E20+E21+E24</f>
        <v>4000</v>
      </c>
      <c r="F15" s="462">
        <f>F16+F20+F21+F24</f>
        <v>4000</v>
      </c>
      <c r="G15" s="462">
        <f t="shared" si="20"/>
        <v>0</v>
      </c>
      <c r="H15" s="462">
        <f t="shared" si="20"/>
        <v>0</v>
      </c>
      <c r="I15" s="462">
        <f t="shared" si="20"/>
        <v>0</v>
      </c>
      <c r="J15" s="462">
        <f>J16+J20+J21+J24</f>
        <v>0</v>
      </c>
      <c r="K15" s="489">
        <f t="shared" si="2"/>
        <v>0</v>
      </c>
      <c r="L15" s="489">
        <f t="shared" si="3"/>
        <v>0</v>
      </c>
      <c r="M15" s="462">
        <f>M16+M20+M21+M24</f>
        <v>0</v>
      </c>
      <c r="N15" s="489">
        <f t="shared" si="4"/>
        <v>0</v>
      </c>
      <c r="O15" s="489">
        <f t="shared" si="5"/>
        <v>0</v>
      </c>
      <c r="P15" s="462">
        <f>P16+P20+P21+P24</f>
        <v>0</v>
      </c>
      <c r="Q15" s="462">
        <f>Q16+Q20+Q21+Q24</f>
        <v>363223</v>
      </c>
      <c r="R15" s="462">
        <f>R16+R20+R21+R24</f>
        <v>363223</v>
      </c>
      <c r="S15" s="462">
        <f t="shared" ref="S15:AP15" si="21">S16+S20+S21+S24</f>
        <v>0</v>
      </c>
      <c r="T15" s="462">
        <f t="shared" si="21"/>
        <v>0</v>
      </c>
      <c r="U15" s="462">
        <f t="shared" si="21"/>
        <v>0</v>
      </c>
      <c r="V15" s="462">
        <f t="shared" si="21"/>
        <v>0</v>
      </c>
      <c r="W15" s="462">
        <f t="shared" si="21"/>
        <v>0</v>
      </c>
      <c r="X15" s="462">
        <f t="shared" si="21"/>
        <v>363223</v>
      </c>
      <c r="Y15" s="462">
        <f t="shared" si="21"/>
        <v>0</v>
      </c>
      <c r="Z15" s="462">
        <f t="shared" si="21"/>
        <v>0</v>
      </c>
      <c r="AA15" s="462">
        <f t="shared" si="21"/>
        <v>0</v>
      </c>
      <c r="AB15" s="462">
        <f t="shared" si="21"/>
        <v>0</v>
      </c>
      <c r="AC15" s="462">
        <f t="shared" si="21"/>
        <v>0</v>
      </c>
      <c r="AD15" s="462">
        <f t="shared" si="21"/>
        <v>0</v>
      </c>
      <c r="AE15" s="462">
        <f t="shared" si="21"/>
        <v>0</v>
      </c>
      <c r="AF15" s="462">
        <f t="shared" si="21"/>
        <v>0</v>
      </c>
      <c r="AG15" s="462">
        <f t="shared" si="21"/>
        <v>0</v>
      </c>
      <c r="AH15" s="462">
        <f t="shared" si="21"/>
        <v>0</v>
      </c>
      <c r="AI15" s="462">
        <f t="shared" si="21"/>
        <v>0</v>
      </c>
      <c r="AJ15" s="462">
        <f t="shared" si="21"/>
        <v>0</v>
      </c>
      <c r="AK15" s="462">
        <f t="shared" si="21"/>
        <v>0</v>
      </c>
      <c r="AL15" s="462">
        <f t="shared" si="21"/>
        <v>0</v>
      </c>
      <c r="AM15" s="462">
        <f t="shared" si="21"/>
        <v>0</v>
      </c>
      <c r="AN15" s="462">
        <f t="shared" si="21"/>
        <v>0</v>
      </c>
      <c r="AO15" s="462">
        <f t="shared" si="21"/>
        <v>0</v>
      </c>
      <c r="AP15" s="462">
        <f t="shared" si="21"/>
        <v>0</v>
      </c>
    </row>
    <row r="16" spans="1:46" ht="20.25" customHeight="1">
      <c r="A16" s="431" t="s">
        <v>24</v>
      </c>
      <c r="B16" s="473" t="s">
        <v>496</v>
      </c>
      <c r="C16" s="488">
        <f t="shared" si="9"/>
        <v>0</v>
      </c>
      <c r="D16" s="488">
        <f t="shared" si="10"/>
        <v>0</v>
      </c>
      <c r="E16" s="462">
        <f t="shared" si="11"/>
        <v>0</v>
      </c>
      <c r="F16" s="462"/>
      <c r="G16" s="462">
        <f>SUM(G17:G19)</f>
        <v>0</v>
      </c>
      <c r="H16" s="462">
        <f t="shared" si="7"/>
        <v>0</v>
      </c>
      <c r="I16" s="462">
        <f>SUM(I17:I19)</f>
        <v>0</v>
      </c>
      <c r="J16" s="462">
        <f>SUM(J17:J19)</f>
        <v>0</v>
      </c>
      <c r="K16" s="489">
        <f t="shared" si="2"/>
        <v>0</v>
      </c>
      <c r="L16" s="489">
        <f t="shared" si="3"/>
        <v>0</v>
      </c>
      <c r="M16" s="462">
        <f>SUM(M17:M19)</f>
        <v>0</v>
      </c>
      <c r="N16" s="489">
        <f t="shared" si="4"/>
        <v>0</v>
      </c>
      <c r="O16" s="489">
        <f t="shared" si="5"/>
        <v>0</v>
      </c>
      <c r="P16" s="462">
        <f>SUM(P17:P19)</f>
        <v>0</v>
      </c>
      <c r="Q16" s="462">
        <f t="shared" ref="Q16:AP16" si="22">SUM(Q17:Q19)</f>
        <v>0</v>
      </c>
      <c r="R16" s="462">
        <f t="shared" si="22"/>
        <v>0</v>
      </c>
      <c r="S16" s="462">
        <f t="shared" si="22"/>
        <v>0</v>
      </c>
      <c r="T16" s="462">
        <f t="shared" si="22"/>
        <v>0</v>
      </c>
      <c r="U16" s="462">
        <f t="shared" si="22"/>
        <v>0</v>
      </c>
      <c r="V16" s="462">
        <f t="shared" si="22"/>
        <v>0</v>
      </c>
      <c r="W16" s="462">
        <f t="shared" si="22"/>
        <v>0</v>
      </c>
      <c r="X16" s="462">
        <f t="shared" si="22"/>
        <v>0</v>
      </c>
      <c r="Y16" s="462">
        <f t="shared" si="22"/>
        <v>0</v>
      </c>
      <c r="Z16" s="462">
        <f t="shared" si="22"/>
        <v>0</v>
      </c>
      <c r="AA16" s="462">
        <f t="shared" si="22"/>
        <v>0</v>
      </c>
      <c r="AB16" s="462">
        <f t="shared" si="22"/>
        <v>0</v>
      </c>
      <c r="AC16" s="462">
        <f t="shared" si="22"/>
        <v>0</v>
      </c>
      <c r="AD16" s="462">
        <f t="shared" si="22"/>
        <v>0</v>
      </c>
      <c r="AE16" s="462">
        <f t="shared" si="22"/>
        <v>0</v>
      </c>
      <c r="AF16" s="462">
        <f t="shared" si="22"/>
        <v>0</v>
      </c>
      <c r="AG16" s="462">
        <f t="shared" si="22"/>
        <v>0</v>
      </c>
      <c r="AH16" s="462">
        <f t="shared" si="22"/>
        <v>0</v>
      </c>
      <c r="AI16" s="462">
        <f t="shared" si="22"/>
        <v>0</v>
      </c>
      <c r="AJ16" s="462">
        <f t="shared" si="22"/>
        <v>0</v>
      </c>
      <c r="AK16" s="462">
        <f t="shared" si="22"/>
        <v>0</v>
      </c>
      <c r="AL16" s="462">
        <f t="shared" si="22"/>
        <v>0</v>
      </c>
      <c r="AM16" s="462">
        <f t="shared" si="22"/>
        <v>0</v>
      </c>
      <c r="AN16" s="462">
        <f t="shared" si="22"/>
        <v>0</v>
      </c>
      <c r="AO16" s="462">
        <f t="shared" si="22"/>
        <v>0</v>
      </c>
      <c r="AP16" s="462">
        <f t="shared" si="22"/>
        <v>0</v>
      </c>
    </row>
    <row r="17" spans="1:42" s="424" customFormat="1" ht="20.25" customHeight="1">
      <c r="A17" s="432"/>
      <c r="B17" s="474" t="s">
        <v>427</v>
      </c>
      <c r="C17" s="488">
        <f t="shared" si="9"/>
        <v>0</v>
      </c>
      <c r="D17" s="488">
        <f t="shared" si="10"/>
        <v>0</v>
      </c>
      <c r="E17" s="460">
        <f t="shared" si="11"/>
        <v>0</v>
      </c>
      <c r="F17" s="460"/>
      <c r="G17" s="460"/>
      <c r="H17" s="460">
        <f t="shared" si="7"/>
        <v>0</v>
      </c>
      <c r="I17" s="460"/>
      <c r="J17" s="460"/>
      <c r="K17" s="489">
        <f t="shared" si="2"/>
        <v>0</v>
      </c>
      <c r="L17" s="489">
        <f t="shared" si="3"/>
        <v>0</v>
      </c>
      <c r="M17" s="460"/>
      <c r="N17" s="489">
        <f t="shared" si="4"/>
        <v>0</v>
      </c>
      <c r="O17" s="489">
        <f t="shared" si="5"/>
        <v>0</v>
      </c>
      <c r="P17" s="460"/>
      <c r="Q17" s="462">
        <f t="shared" ref="Q17:Q19" si="23">R17+S17</f>
        <v>0</v>
      </c>
      <c r="R17" s="462">
        <f t="shared" ref="R17:R19" si="24">T17+U17+V17+W17+X17+Y17+AA17</f>
        <v>0</v>
      </c>
      <c r="S17" s="462">
        <f t="shared" ref="S17:S20" si="25">AB17</f>
        <v>0</v>
      </c>
      <c r="T17" s="462"/>
      <c r="U17" s="462"/>
      <c r="V17" s="462"/>
      <c r="W17" s="462"/>
      <c r="X17" s="462"/>
      <c r="Y17" s="462"/>
      <c r="Z17" s="462">
        <f t="shared" ref="Z17:Z20" si="26">AB17+AA17</f>
        <v>0</v>
      </c>
      <c r="AA17" s="462"/>
      <c r="AB17" s="462"/>
      <c r="AC17" s="462"/>
      <c r="AD17" s="462">
        <f t="shared" ref="AD17:AD20" si="27">AE17+AF17</f>
        <v>0</v>
      </c>
      <c r="AE17" s="462">
        <f t="shared" ref="AE17:AE20" si="28">AG17+AH17+AI17+AJ17+AK17+AM17+AO17+AP17</f>
        <v>0</v>
      </c>
      <c r="AF17" s="462">
        <f t="shared" ref="AF17:AF20" si="29">AN17</f>
        <v>0</v>
      </c>
      <c r="AG17" s="460"/>
      <c r="AH17" s="460"/>
      <c r="AI17" s="460"/>
      <c r="AJ17" s="460"/>
      <c r="AK17" s="460"/>
      <c r="AL17" s="462">
        <f t="shared" ref="AL17:AL20" si="30">AM17+AN17</f>
        <v>0</v>
      </c>
      <c r="AM17" s="460"/>
      <c r="AN17" s="460"/>
      <c r="AO17" s="460"/>
      <c r="AP17" s="460"/>
    </row>
    <row r="18" spans="1:42" s="424" customFormat="1" ht="20.25" customHeight="1">
      <c r="A18" s="432"/>
      <c r="B18" s="474" t="s">
        <v>428</v>
      </c>
      <c r="C18" s="488">
        <f t="shared" si="9"/>
        <v>0</v>
      </c>
      <c r="D18" s="488">
        <f t="shared" si="10"/>
        <v>0</v>
      </c>
      <c r="E18" s="460">
        <f t="shared" si="11"/>
        <v>0</v>
      </c>
      <c r="F18" s="460"/>
      <c r="G18" s="460"/>
      <c r="H18" s="460">
        <f t="shared" si="7"/>
        <v>0</v>
      </c>
      <c r="I18" s="460"/>
      <c r="J18" s="460"/>
      <c r="K18" s="489">
        <f t="shared" si="2"/>
        <v>0</v>
      </c>
      <c r="L18" s="489">
        <f t="shared" si="3"/>
        <v>0</v>
      </c>
      <c r="M18" s="460"/>
      <c r="N18" s="489">
        <f t="shared" si="4"/>
        <v>0</v>
      </c>
      <c r="O18" s="489">
        <f t="shared" si="5"/>
        <v>0</v>
      </c>
      <c r="P18" s="460"/>
      <c r="Q18" s="462">
        <f t="shared" si="23"/>
        <v>0</v>
      </c>
      <c r="R18" s="462">
        <f t="shared" si="24"/>
        <v>0</v>
      </c>
      <c r="S18" s="462">
        <f t="shared" si="25"/>
        <v>0</v>
      </c>
      <c r="T18" s="462"/>
      <c r="U18" s="462"/>
      <c r="V18" s="462"/>
      <c r="W18" s="462"/>
      <c r="X18" s="462"/>
      <c r="Y18" s="462"/>
      <c r="Z18" s="462">
        <f t="shared" si="26"/>
        <v>0</v>
      </c>
      <c r="AA18" s="462"/>
      <c r="AB18" s="462"/>
      <c r="AC18" s="462"/>
      <c r="AD18" s="462">
        <f t="shared" si="27"/>
        <v>0</v>
      </c>
      <c r="AE18" s="462">
        <f t="shared" si="28"/>
        <v>0</v>
      </c>
      <c r="AF18" s="462">
        <f t="shared" si="29"/>
        <v>0</v>
      </c>
      <c r="AG18" s="460"/>
      <c r="AH18" s="460"/>
      <c r="AI18" s="460"/>
      <c r="AJ18" s="460"/>
      <c r="AK18" s="460"/>
      <c r="AL18" s="462">
        <f t="shared" si="30"/>
        <v>0</v>
      </c>
      <c r="AM18" s="460"/>
      <c r="AN18" s="460"/>
      <c r="AO18" s="460"/>
      <c r="AP18" s="460"/>
    </row>
    <row r="19" spans="1:42" s="424" customFormat="1" ht="20.25" customHeight="1">
      <c r="A19" s="432"/>
      <c r="B19" s="474" t="s">
        <v>429</v>
      </c>
      <c r="C19" s="488">
        <f t="shared" si="9"/>
        <v>0</v>
      </c>
      <c r="D19" s="488">
        <f t="shared" si="10"/>
        <v>0</v>
      </c>
      <c r="E19" s="460">
        <f t="shared" si="11"/>
        <v>0</v>
      </c>
      <c r="F19" s="460"/>
      <c r="G19" s="460"/>
      <c r="H19" s="460">
        <f t="shared" si="7"/>
        <v>0</v>
      </c>
      <c r="I19" s="460"/>
      <c r="J19" s="460"/>
      <c r="K19" s="489">
        <f t="shared" si="2"/>
        <v>0</v>
      </c>
      <c r="L19" s="489">
        <f t="shared" si="3"/>
        <v>0</v>
      </c>
      <c r="M19" s="460"/>
      <c r="N19" s="489">
        <f t="shared" si="4"/>
        <v>0</v>
      </c>
      <c r="O19" s="489">
        <f t="shared" si="5"/>
        <v>0</v>
      </c>
      <c r="P19" s="460"/>
      <c r="Q19" s="462">
        <f t="shared" si="23"/>
        <v>0</v>
      </c>
      <c r="R19" s="462">
        <f t="shared" si="24"/>
        <v>0</v>
      </c>
      <c r="S19" s="462">
        <f t="shared" si="25"/>
        <v>0</v>
      </c>
      <c r="T19" s="462"/>
      <c r="U19" s="462"/>
      <c r="V19" s="462"/>
      <c r="W19" s="462"/>
      <c r="X19" s="462"/>
      <c r="Y19" s="462"/>
      <c r="Z19" s="462">
        <f t="shared" si="26"/>
        <v>0</v>
      </c>
      <c r="AA19" s="462"/>
      <c r="AB19" s="462"/>
      <c r="AC19" s="462"/>
      <c r="AD19" s="462">
        <f t="shared" si="27"/>
        <v>0</v>
      </c>
      <c r="AE19" s="462">
        <f t="shared" si="28"/>
        <v>0</v>
      </c>
      <c r="AF19" s="462">
        <f t="shared" si="29"/>
        <v>0</v>
      </c>
      <c r="AG19" s="460"/>
      <c r="AH19" s="460"/>
      <c r="AI19" s="460"/>
      <c r="AJ19" s="460"/>
      <c r="AK19" s="460"/>
      <c r="AL19" s="462">
        <f t="shared" si="30"/>
        <v>0</v>
      </c>
      <c r="AM19" s="460"/>
      <c r="AN19" s="460"/>
      <c r="AO19" s="460"/>
      <c r="AP19" s="460"/>
    </row>
    <row r="20" spans="1:42">
      <c r="A20" s="431" t="s">
        <v>25</v>
      </c>
      <c r="B20" s="473" t="s">
        <v>497</v>
      </c>
      <c r="C20" s="488">
        <f t="shared" si="9"/>
        <v>4000</v>
      </c>
      <c r="D20" s="488">
        <f t="shared" si="10"/>
        <v>4000</v>
      </c>
      <c r="E20" s="462">
        <f t="shared" si="11"/>
        <v>4000</v>
      </c>
      <c r="F20" s="462">
        <f>10300-6300</f>
        <v>4000</v>
      </c>
      <c r="G20" s="462"/>
      <c r="H20" s="462">
        <f t="shared" si="7"/>
        <v>0</v>
      </c>
      <c r="I20" s="462"/>
      <c r="J20" s="462"/>
      <c r="K20" s="489">
        <f t="shared" si="2"/>
        <v>0</v>
      </c>
      <c r="L20" s="489">
        <f t="shared" si="3"/>
        <v>0</v>
      </c>
      <c r="M20" s="462"/>
      <c r="N20" s="489">
        <f t="shared" si="4"/>
        <v>0</v>
      </c>
      <c r="O20" s="489">
        <f t="shared" si="5"/>
        <v>0</v>
      </c>
      <c r="P20" s="462"/>
      <c r="Q20" s="462">
        <f>R20+S20</f>
        <v>0</v>
      </c>
      <c r="R20" s="462">
        <f>T20+U20+V20+W20+X20+Y20+AA20</f>
        <v>0</v>
      </c>
      <c r="S20" s="462">
        <f t="shared" si="25"/>
        <v>0</v>
      </c>
      <c r="T20" s="462"/>
      <c r="U20" s="462"/>
      <c r="V20" s="462"/>
      <c r="W20" s="462"/>
      <c r="X20" s="462"/>
      <c r="Y20" s="462"/>
      <c r="Z20" s="462">
        <f t="shared" si="26"/>
        <v>0</v>
      </c>
      <c r="AA20" s="462"/>
      <c r="AB20" s="462"/>
      <c r="AC20" s="462"/>
      <c r="AD20" s="462">
        <f t="shared" si="27"/>
        <v>0</v>
      </c>
      <c r="AE20" s="462">
        <f t="shared" si="28"/>
        <v>0</v>
      </c>
      <c r="AF20" s="462">
        <f t="shared" si="29"/>
        <v>0</v>
      </c>
      <c r="AG20" s="462"/>
      <c r="AH20" s="462"/>
      <c r="AI20" s="462"/>
      <c r="AJ20" s="462"/>
      <c r="AK20" s="462"/>
      <c r="AL20" s="462">
        <f t="shared" si="30"/>
        <v>0</v>
      </c>
      <c r="AM20" s="462"/>
      <c r="AN20" s="462"/>
      <c r="AO20" s="462"/>
      <c r="AP20" s="462"/>
    </row>
    <row r="21" spans="1:42" ht="31.5">
      <c r="A21" s="431" t="s">
        <v>55</v>
      </c>
      <c r="B21" s="473" t="s">
        <v>464</v>
      </c>
      <c r="C21" s="488">
        <f t="shared" si="9"/>
        <v>0</v>
      </c>
      <c r="D21" s="488">
        <f t="shared" si="10"/>
        <v>0</v>
      </c>
      <c r="E21" s="462">
        <f t="shared" ref="E21:J21" si="31">E22+E23</f>
        <v>0</v>
      </c>
      <c r="F21" s="462">
        <f t="shared" si="31"/>
        <v>0</v>
      </c>
      <c r="G21" s="462">
        <f t="shared" si="31"/>
        <v>0</v>
      </c>
      <c r="H21" s="462">
        <f t="shared" si="31"/>
        <v>0</v>
      </c>
      <c r="I21" s="462">
        <f t="shared" si="31"/>
        <v>0</v>
      </c>
      <c r="J21" s="462">
        <f t="shared" si="31"/>
        <v>0</v>
      </c>
      <c r="K21" s="489">
        <f t="shared" si="2"/>
        <v>0</v>
      </c>
      <c r="L21" s="489">
        <f t="shared" si="3"/>
        <v>0</v>
      </c>
      <c r="M21" s="462">
        <f t="shared" ref="M21" si="32">M22+M23</f>
        <v>0</v>
      </c>
      <c r="N21" s="489">
        <f t="shared" si="4"/>
        <v>0</v>
      </c>
      <c r="O21" s="489">
        <f t="shared" si="5"/>
        <v>0</v>
      </c>
      <c r="P21" s="462">
        <f t="shared" ref="P21" si="33">P22+P23</f>
        <v>0</v>
      </c>
      <c r="Q21" s="462">
        <f t="shared" ref="Q21:AP21" si="34">Q22+Q23</f>
        <v>0</v>
      </c>
      <c r="R21" s="462">
        <f>R22+R23</f>
        <v>0</v>
      </c>
      <c r="S21" s="462">
        <f t="shared" si="34"/>
        <v>0</v>
      </c>
      <c r="T21" s="462">
        <f t="shared" si="34"/>
        <v>0</v>
      </c>
      <c r="U21" s="462">
        <f t="shared" si="34"/>
        <v>0</v>
      </c>
      <c r="V21" s="462">
        <f t="shared" si="34"/>
        <v>0</v>
      </c>
      <c r="W21" s="462">
        <f t="shared" si="34"/>
        <v>0</v>
      </c>
      <c r="X21" s="462">
        <f t="shared" si="34"/>
        <v>0</v>
      </c>
      <c r="Y21" s="462">
        <f t="shared" si="34"/>
        <v>0</v>
      </c>
      <c r="Z21" s="462">
        <f t="shared" si="34"/>
        <v>0</v>
      </c>
      <c r="AA21" s="462">
        <f t="shared" si="34"/>
        <v>0</v>
      </c>
      <c r="AB21" s="462">
        <f t="shared" si="34"/>
        <v>0</v>
      </c>
      <c r="AC21" s="462">
        <f t="shared" si="34"/>
        <v>0</v>
      </c>
      <c r="AD21" s="462">
        <f t="shared" si="34"/>
        <v>0</v>
      </c>
      <c r="AE21" s="462">
        <f t="shared" si="34"/>
        <v>0</v>
      </c>
      <c r="AF21" s="462">
        <f t="shared" si="34"/>
        <v>0</v>
      </c>
      <c r="AG21" s="462">
        <f t="shared" si="34"/>
        <v>0</v>
      </c>
      <c r="AH21" s="462">
        <f t="shared" si="34"/>
        <v>0</v>
      </c>
      <c r="AI21" s="462">
        <f t="shared" si="34"/>
        <v>0</v>
      </c>
      <c r="AJ21" s="462">
        <f t="shared" si="34"/>
        <v>0</v>
      </c>
      <c r="AK21" s="462">
        <f t="shared" si="34"/>
        <v>0</v>
      </c>
      <c r="AL21" s="462">
        <f t="shared" si="34"/>
        <v>0</v>
      </c>
      <c r="AM21" s="462">
        <f t="shared" si="34"/>
        <v>0</v>
      </c>
      <c r="AN21" s="462">
        <f t="shared" si="34"/>
        <v>0</v>
      </c>
      <c r="AO21" s="462">
        <f t="shared" si="34"/>
        <v>0</v>
      </c>
      <c r="AP21" s="462">
        <f t="shared" si="34"/>
        <v>0</v>
      </c>
    </row>
    <row r="22" spans="1:42" s="424" customFormat="1" ht="63">
      <c r="A22" s="432"/>
      <c r="B22" s="474" t="s">
        <v>467</v>
      </c>
      <c r="C22" s="488">
        <f t="shared" si="9"/>
        <v>0</v>
      </c>
      <c r="D22" s="488">
        <f t="shared" si="10"/>
        <v>0</v>
      </c>
      <c r="E22" s="460">
        <f>F22+G22</f>
        <v>0</v>
      </c>
      <c r="F22" s="460"/>
      <c r="G22" s="460"/>
      <c r="H22" s="462">
        <f>I22+J22</f>
        <v>0</v>
      </c>
      <c r="I22" s="460"/>
      <c r="J22" s="460"/>
      <c r="K22" s="489">
        <f t="shared" si="2"/>
        <v>0</v>
      </c>
      <c r="L22" s="489">
        <f t="shared" si="3"/>
        <v>0</v>
      </c>
      <c r="M22" s="460"/>
      <c r="N22" s="489">
        <f t="shared" si="4"/>
        <v>0</v>
      </c>
      <c r="O22" s="489">
        <f t="shared" si="5"/>
        <v>0</v>
      </c>
      <c r="P22" s="460"/>
      <c r="Q22" s="462">
        <f t="shared" ref="Q22" si="35">R22+S22</f>
        <v>0</v>
      </c>
      <c r="R22" s="462">
        <f>T22+U22+V22+W22+X22+Y22+AA22</f>
        <v>0</v>
      </c>
      <c r="S22" s="462">
        <f t="shared" ref="S22:S23" si="36">AB22</f>
        <v>0</v>
      </c>
      <c r="T22" s="462"/>
      <c r="U22" s="462"/>
      <c r="V22" s="462"/>
      <c r="W22" s="462"/>
      <c r="X22" s="462"/>
      <c r="Y22" s="462"/>
      <c r="Z22" s="462">
        <f t="shared" ref="Z22:Z23" si="37">AB22+AA22</f>
        <v>0</v>
      </c>
      <c r="AA22" s="462"/>
      <c r="AB22" s="462"/>
      <c r="AC22" s="462"/>
      <c r="AD22" s="462">
        <f t="shared" ref="AD22:AD23" si="38">AE22+AF22</f>
        <v>0</v>
      </c>
      <c r="AE22" s="462">
        <f t="shared" ref="AE22:AE23" si="39">AG22+AH22+AI22+AJ22+AK22+AM22+AO22+AP22</f>
        <v>0</v>
      </c>
      <c r="AF22" s="462">
        <f t="shared" ref="AF22:AF23" si="40">AN22</f>
        <v>0</v>
      </c>
      <c r="AG22" s="460"/>
      <c r="AH22" s="460"/>
      <c r="AI22" s="460"/>
      <c r="AJ22" s="460"/>
      <c r="AK22" s="460"/>
      <c r="AL22" s="462">
        <f t="shared" ref="AL22:AL23" si="41">AM22+AN22</f>
        <v>0</v>
      </c>
      <c r="AM22" s="460"/>
      <c r="AN22" s="460"/>
      <c r="AO22" s="460"/>
      <c r="AP22" s="460"/>
    </row>
    <row r="23" spans="1:42" s="424" customFormat="1" ht="63">
      <c r="A23" s="432"/>
      <c r="B23" s="474" t="s">
        <v>468</v>
      </c>
      <c r="C23" s="488">
        <f t="shared" si="9"/>
        <v>0</v>
      </c>
      <c r="D23" s="488">
        <f t="shared" si="10"/>
        <v>0</v>
      </c>
      <c r="E23" s="460">
        <f>F23+G23</f>
        <v>0</v>
      </c>
      <c r="F23" s="460"/>
      <c r="G23" s="460"/>
      <c r="H23" s="462">
        <f>I23+J23</f>
        <v>0</v>
      </c>
      <c r="I23" s="460"/>
      <c r="J23" s="460"/>
      <c r="K23" s="489">
        <f t="shared" si="2"/>
        <v>0</v>
      </c>
      <c r="L23" s="489">
        <f t="shared" si="3"/>
        <v>0</v>
      </c>
      <c r="M23" s="460"/>
      <c r="N23" s="489">
        <f t="shared" si="4"/>
        <v>0</v>
      </c>
      <c r="O23" s="489">
        <f t="shared" si="5"/>
        <v>0</v>
      </c>
      <c r="P23" s="460"/>
      <c r="Q23" s="462">
        <f>R23+S23</f>
        <v>0</v>
      </c>
      <c r="R23" s="462">
        <f t="shared" ref="R23:R24" si="42">T23+U23+V23+W23+X23+Y23+AA23</f>
        <v>0</v>
      </c>
      <c r="S23" s="462">
        <f t="shared" si="36"/>
        <v>0</v>
      </c>
      <c r="T23" s="462"/>
      <c r="U23" s="462"/>
      <c r="V23" s="462"/>
      <c r="W23" s="462"/>
      <c r="X23" s="462"/>
      <c r="Y23" s="462"/>
      <c r="Z23" s="462">
        <f t="shared" si="37"/>
        <v>0</v>
      </c>
      <c r="AA23" s="462"/>
      <c r="AB23" s="462"/>
      <c r="AC23" s="462"/>
      <c r="AD23" s="462">
        <f t="shared" si="38"/>
        <v>0</v>
      </c>
      <c r="AE23" s="462">
        <f t="shared" si="39"/>
        <v>0</v>
      </c>
      <c r="AF23" s="462">
        <f t="shared" si="40"/>
        <v>0</v>
      </c>
      <c r="AG23" s="460"/>
      <c r="AH23" s="460"/>
      <c r="AI23" s="460"/>
      <c r="AJ23" s="460"/>
      <c r="AK23" s="460"/>
      <c r="AL23" s="462">
        <f t="shared" si="41"/>
        <v>0</v>
      </c>
      <c r="AM23" s="460"/>
      <c r="AN23" s="460"/>
      <c r="AO23" s="460"/>
      <c r="AP23" s="460"/>
    </row>
    <row r="24" spans="1:42" ht="31.5">
      <c r="A24" s="431" t="s">
        <v>74</v>
      </c>
      <c r="B24" s="473" t="s">
        <v>501</v>
      </c>
      <c r="C24" s="488">
        <f t="shared" si="9"/>
        <v>0</v>
      </c>
      <c r="D24" s="488">
        <f t="shared" si="10"/>
        <v>363223</v>
      </c>
      <c r="E24" s="460">
        <f>F24+G24</f>
        <v>0</v>
      </c>
      <c r="F24" s="462"/>
      <c r="G24" s="462"/>
      <c r="H24" s="462">
        <f>I24+J24</f>
        <v>0</v>
      </c>
      <c r="I24" s="462"/>
      <c r="J24" s="462">
        <v>0</v>
      </c>
      <c r="K24" s="489">
        <f t="shared" si="2"/>
        <v>0</v>
      </c>
      <c r="L24" s="489">
        <f t="shared" si="3"/>
        <v>0</v>
      </c>
      <c r="M24" s="462">
        <v>0</v>
      </c>
      <c r="N24" s="489">
        <f t="shared" si="4"/>
        <v>0</v>
      </c>
      <c r="O24" s="489">
        <f t="shared" si="5"/>
        <v>0</v>
      </c>
      <c r="P24" s="462">
        <v>0</v>
      </c>
      <c r="Q24" s="462">
        <f>R24+S24</f>
        <v>363223</v>
      </c>
      <c r="R24" s="462">
        <f t="shared" si="42"/>
        <v>363223</v>
      </c>
      <c r="S24" s="462">
        <v>0</v>
      </c>
      <c r="T24" s="462">
        <v>0</v>
      </c>
      <c r="U24" s="462">
        <v>0</v>
      </c>
      <c r="V24" s="462">
        <v>0</v>
      </c>
      <c r="W24" s="462">
        <v>0</v>
      </c>
      <c r="X24" s="462">
        <f>409403-X11</f>
        <v>363223</v>
      </c>
      <c r="Y24" s="462">
        <v>0</v>
      </c>
      <c r="Z24" s="462">
        <v>0</v>
      </c>
      <c r="AA24" s="462">
        <v>0</v>
      </c>
      <c r="AB24" s="462">
        <v>0</v>
      </c>
      <c r="AC24" s="462">
        <v>0</v>
      </c>
      <c r="AD24" s="462">
        <v>0</v>
      </c>
      <c r="AE24" s="462">
        <v>0</v>
      </c>
      <c r="AF24" s="462">
        <v>0</v>
      </c>
      <c r="AG24" s="462">
        <v>0</v>
      </c>
      <c r="AH24" s="462">
        <v>0</v>
      </c>
      <c r="AI24" s="462">
        <v>0</v>
      </c>
      <c r="AJ24" s="462">
        <v>0</v>
      </c>
      <c r="AK24" s="462">
        <v>0</v>
      </c>
      <c r="AL24" s="462">
        <v>0</v>
      </c>
      <c r="AM24" s="462">
        <v>0</v>
      </c>
      <c r="AN24" s="462">
        <v>0</v>
      </c>
      <c r="AO24" s="462">
        <v>0</v>
      </c>
      <c r="AP24" s="462">
        <v>0</v>
      </c>
    </row>
    <row r="25" spans="1:42" ht="40.5" customHeight="1">
      <c r="A25" s="431">
        <v>2</v>
      </c>
      <c r="B25" s="473" t="s">
        <v>417</v>
      </c>
      <c r="C25" s="488">
        <f t="shared" si="9"/>
        <v>0</v>
      </c>
      <c r="D25" s="488">
        <f t="shared" si="10"/>
        <v>0</v>
      </c>
      <c r="E25" s="462">
        <f t="shared" si="11"/>
        <v>0</v>
      </c>
      <c r="F25" s="462"/>
      <c r="G25" s="462"/>
      <c r="H25" s="462">
        <f t="shared" si="7"/>
        <v>0</v>
      </c>
      <c r="I25" s="462"/>
      <c r="J25" s="462"/>
      <c r="K25" s="489">
        <f t="shared" si="2"/>
        <v>0</v>
      </c>
      <c r="L25" s="489">
        <f t="shared" si="3"/>
        <v>0</v>
      </c>
      <c r="M25" s="462"/>
      <c r="N25" s="489">
        <f t="shared" si="4"/>
        <v>0</v>
      </c>
      <c r="O25" s="489">
        <f t="shared" si="5"/>
        <v>0</v>
      </c>
      <c r="P25" s="462"/>
      <c r="Q25" s="462">
        <f t="shared" ref="Q25:Q29" si="43">R25+S25</f>
        <v>0</v>
      </c>
      <c r="R25" s="462">
        <f t="shared" ref="R25:R31" si="44">T25+U25+V25+W25+X25+Y25+AA25</f>
        <v>0</v>
      </c>
      <c r="S25" s="462">
        <f t="shared" ref="S25:S31" si="45">AB25</f>
        <v>0</v>
      </c>
      <c r="T25" s="462"/>
      <c r="U25" s="462"/>
      <c r="V25" s="462"/>
      <c r="W25" s="462"/>
      <c r="X25" s="462"/>
      <c r="Y25" s="462"/>
      <c r="Z25" s="462">
        <f t="shared" ref="Z25:Z31" si="46">AB25+AA25</f>
        <v>0</v>
      </c>
      <c r="AA25" s="462"/>
      <c r="AB25" s="462"/>
      <c r="AC25" s="462"/>
      <c r="AD25" s="462">
        <f t="shared" ref="AD25:AD31" si="47">AE25+AF25</f>
        <v>0</v>
      </c>
      <c r="AE25" s="462">
        <f t="shared" ref="AE25:AE31" si="48">AG25+AH25+AI25+AJ25+AK25+AM25+AO25+AP25</f>
        <v>0</v>
      </c>
      <c r="AF25" s="462">
        <f t="shared" ref="AF25:AF31" si="49">AN25</f>
        <v>0</v>
      </c>
      <c r="AG25" s="462"/>
      <c r="AH25" s="462"/>
      <c r="AI25" s="462"/>
      <c r="AJ25" s="462"/>
      <c r="AK25" s="462"/>
      <c r="AL25" s="462">
        <f t="shared" ref="AL25:AL31" si="50">AM25+AN25</f>
        <v>0</v>
      </c>
      <c r="AM25" s="462"/>
      <c r="AN25" s="462"/>
      <c r="AO25" s="462"/>
      <c r="AP25" s="462"/>
    </row>
    <row r="26" spans="1:42" ht="20.25" customHeight="1">
      <c r="A26" s="431">
        <v>3</v>
      </c>
      <c r="B26" s="473" t="s">
        <v>418</v>
      </c>
      <c r="C26" s="488">
        <f t="shared" si="9"/>
        <v>0</v>
      </c>
      <c r="D26" s="488">
        <f t="shared" si="10"/>
        <v>0</v>
      </c>
      <c r="E26" s="462">
        <f t="shared" si="11"/>
        <v>0</v>
      </c>
      <c r="F26" s="462"/>
      <c r="G26" s="462"/>
      <c r="H26" s="462">
        <f t="shared" si="7"/>
        <v>0</v>
      </c>
      <c r="I26" s="462"/>
      <c r="J26" s="462"/>
      <c r="K26" s="489">
        <f t="shared" si="2"/>
        <v>0</v>
      </c>
      <c r="L26" s="489">
        <f t="shared" si="3"/>
        <v>0</v>
      </c>
      <c r="M26" s="462"/>
      <c r="N26" s="489">
        <f t="shared" si="4"/>
        <v>0</v>
      </c>
      <c r="O26" s="489">
        <f t="shared" si="5"/>
        <v>0</v>
      </c>
      <c r="P26" s="462"/>
      <c r="Q26" s="462">
        <f t="shared" si="43"/>
        <v>0</v>
      </c>
      <c r="R26" s="462">
        <f t="shared" si="44"/>
        <v>0</v>
      </c>
      <c r="S26" s="462">
        <f t="shared" si="45"/>
        <v>0</v>
      </c>
      <c r="T26" s="462"/>
      <c r="U26" s="462"/>
      <c r="V26" s="462"/>
      <c r="W26" s="462"/>
      <c r="X26" s="462"/>
      <c r="Y26" s="462"/>
      <c r="Z26" s="462">
        <f t="shared" si="46"/>
        <v>0</v>
      </c>
      <c r="AA26" s="462"/>
      <c r="AB26" s="462"/>
      <c r="AC26" s="462"/>
      <c r="AD26" s="462">
        <f t="shared" si="47"/>
        <v>0</v>
      </c>
      <c r="AE26" s="462">
        <f t="shared" si="48"/>
        <v>0</v>
      </c>
      <c r="AF26" s="462">
        <f t="shared" si="49"/>
        <v>0</v>
      </c>
      <c r="AG26" s="462"/>
      <c r="AH26" s="462"/>
      <c r="AI26" s="462"/>
      <c r="AJ26" s="462"/>
      <c r="AK26" s="462"/>
      <c r="AL26" s="462">
        <f t="shared" si="50"/>
        <v>0</v>
      </c>
      <c r="AM26" s="462"/>
      <c r="AN26" s="462"/>
      <c r="AO26" s="462"/>
      <c r="AP26" s="462"/>
    </row>
    <row r="27" spans="1:42" ht="20.25" customHeight="1">
      <c r="A27" s="431">
        <v>4</v>
      </c>
      <c r="B27" s="473" t="s">
        <v>430</v>
      </c>
      <c r="C27" s="488">
        <f t="shared" si="9"/>
        <v>0</v>
      </c>
      <c r="D27" s="488">
        <f t="shared" si="10"/>
        <v>0</v>
      </c>
      <c r="E27" s="462">
        <f t="shared" si="11"/>
        <v>0</v>
      </c>
      <c r="F27" s="462"/>
      <c r="G27" s="462">
        <f>SUM(G28:G29)</f>
        <v>0</v>
      </c>
      <c r="H27" s="462">
        <f t="shared" si="7"/>
        <v>0</v>
      </c>
      <c r="I27" s="462"/>
      <c r="J27" s="462"/>
      <c r="K27" s="489">
        <f t="shared" si="2"/>
        <v>0</v>
      </c>
      <c r="L27" s="489">
        <f t="shared" si="3"/>
        <v>0</v>
      </c>
      <c r="M27" s="462"/>
      <c r="N27" s="489">
        <f t="shared" si="4"/>
        <v>0</v>
      </c>
      <c r="O27" s="489">
        <f t="shared" si="5"/>
        <v>0</v>
      </c>
      <c r="P27" s="462"/>
      <c r="Q27" s="462">
        <f t="shared" si="43"/>
        <v>0</v>
      </c>
      <c r="R27" s="462">
        <f t="shared" si="44"/>
        <v>0</v>
      </c>
      <c r="S27" s="462">
        <f t="shared" si="45"/>
        <v>0</v>
      </c>
      <c r="T27" s="462"/>
      <c r="U27" s="462"/>
      <c r="V27" s="462"/>
      <c r="W27" s="462"/>
      <c r="X27" s="462"/>
      <c r="Y27" s="462"/>
      <c r="Z27" s="462">
        <f t="shared" si="46"/>
        <v>0</v>
      </c>
      <c r="AA27" s="462"/>
      <c r="AB27" s="462"/>
      <c r="AC27" s="462"/>
      <c r="AD27" s="462">
        <f t="shared" si="47"/>
        <v>0</v>
      </c>
      <c r="AE27" s="462">
        <f t="shared" si="48"/>
        <v>0</v>
      </c>
      <c r="AF27" s="462">
        <f t="shared" si="49"/>
        <v>0</v>
      </c>
      <c r="AG27" s="462"/>
      <c r="AH27" s="462"/>
      <c r="AI27" s="462"/>
      <c r="AJ27" s="462"/>
      <c r="AK27" s="462"/>
      <c r="AL27" s="462">
        <f t="shared" si="50"/>
        <v>0</v>
      </c>
      <c r="AM27" s="462"/>
      <c r="AN27" s="462"/>
      <c r="AO27" s="462"/>
      <c r="AP27" s="462"/>
    </row>
    <row r="28" spans="1:42" s="424" customFormat="1" ht="20.25" customHeight="1">
      <c r="A28" s="432"/>
      <c r="B28" s="474" t="s">
        <v>416</v>
      </c>
      <c r="C28" s="488">
        <f t="shared" si="9"/>
        <v>0</v>
      </c>
      <c r="D28" s="488">
        <f t="shared" si="10"/>
        <v>0</v>
      </c>
      <c r="E28" s="460">
        <f t="shared" si="11"/>
        <v>0</v>
      </c>
      <c r="F28" s="460"/>
      <c r="G28" s="460"/>
      <c r="H28" s="460">
        <f t="shared" si="7"/>
        <v>0</v>
      </c>
      <c r="I28" s="460"/>
      <c r="J28" s="460"/>
      <c r="K28" s="489">
        <f t="shared" si="2"/>
        <v>0</v>
      </c>
      <c r="L28" s="489">
        <f t="shared" si="3"/>
        <v>0</v>
      </c>
      <c r="M28" s="460"/>
      <c r="N28" s="489">
        <f t="shared" si="4"/>
        <v>0</v>
      </c>
      <c r="O28" s="489">
        <f t="shared" si="5"/>
        <v>0</v>
      </c>
      <c r="P28" s="460"/>
      <c r="Q28" s="462">
        <f>R28+S28</f>
        <v>0</v>
      </c>
      <c r="R28" s="462">
        <f t="shared" si="44"/>
        <v>0</v>
      </c>
      <c r="S28" s="462">
        <f t="shared" si="45"/>
        <v>0</v>
      </c>
      <c r="T28" s="462"/>
      <c r="U28" s="462"/>
      <c r="V28" s="462"/>
      <c r="W28" s="462"/>
      <c r="X28" s="462"/>
      <c r="Y28" s="462"/>
      <c r="Z28" s="462">
        <f t="shared" si="46"/>
        <v>0</v>
      </c>
      <c r="AA28" s="462"/>
      <c r="AB28" s="462"/>
      <c r="AC28" s="462"/>
      <c r="AD28" s="462">
        <f t="shared" si="47"/>
        <v>0</v>
      </c>
      <c r="AE28" s="462">
        <f t="shared" si="48"/>
        <v>0</v>
      </c>
      <c r="AF28" s="462">
        <f t="shared" si="49"/>
        <v>0</v>
      </c>
      <c r="AG28" s="460"/>
      <c r="AH28" s="460"/>
      <c r="AI28" s="460"/>
      <c r="AJ28" s="460"/>
      <c r="AK28" s="460"/>
      <c r="AL28" s="462">
        <f t="shared" si="50"/>
        <v>0</v>
      </c>
      <c r="AM28" s="460"/>
      <c r="AN28" s="460"/>
      <c r="AO28" s="460"/>
      <c r="AP28" s="460"/>
    </row>
    <row r="29" spans="1:42" s="424" customFormat="1" ht="47.25">
      <c r="A29" s="432"/>
      <c r="B29" s="474" t="s">
        <v>431</v>
      </c>
      <c r="C29" s="488">
        <f t="shared" si="9"/>
        <v>0</v>
      </c>
      <c r="D29" s="488">
        <f t="shared" si="10"/>
        <v>0</v>
      </c>
      <c r="E29" s="460">
        <f t="shared" si="11"/>
        <v>0</v>
      </c>
      <c r="F29" s="460"/>
      <c r="G29" s="460"/>
      <c r="H29" s="460">
        <f t="shared" si="7"/>
        <v>0</v>
      </c>
      <c r="I29" s="460"/>
      <c r="J29" s="460"/>
      <c r="K29" s="489">
        <f t="shared" si="2"/>
        <v>0</v>
      </c>
      <c r="L29" s="489">
        <f t="shared" si="3"/>
        <v>0</v>
      </c>
      <c r="M29" s="460"/>
      <c r="N29" s="489">
        <f t="shared" si="4"/>
        <v>0</v>
      </c>
      <c r="O29" s="489">
        <f t="shared" si="5"/>
        <v>0</v>
      </c>
      <c r="P29" s="460"/>
      <c r="Q29" s="462">
        <f t="shared" si="43"/>
        <v>0</v>
      </c>
      <c r="R29" s="462">
        <f t="shared" si="44"/>
        <v>0</v>
      </c>
      <c r="S29" s="462">
        <f t="shared" si="45"/>
        <v>0</v>
      </c>
      <c r="T29" s="462"/>
      <c r="U29" s="462"/>
      <c r="V29" s="462"/>
      <c r="W29" s="462"/>
      <c r="X29" s="462"/>
      <c r="Y29" s="462"/>
      <c r="Z29" s="462">
        <f t="shared" si="46"/>
        <v>0</v>
      </c>
      <c r="AA29" s="462"/>
      <c r="AB29" s="462"/>
      <c r="AC29" s="462"/>
      <c r="AD29" s="462">
        <f t="shared" si="47"/>
        <v>0</v>
      </c>
      <c r="AE29" s="462">
        <f t="shared" si="48"/>
        <v>0</v>
      </c>
      <c r="AF29" s="462">
        <f t="shared" si="49"/>
        <v>0</v>
      </c>
      <c r="AG29" s="460"/>
      <c r="AH29" s="460"/>
      <c r="AI29" s="460"/>
      <c r="AJ29" s="460"/>
      <c r="AK29" s="460"/>
      <c r="AL29" s="462">
        <f t="shared" si="50"/>
        <v>0</v>
      </c>
      <c r="AM29" s="460"/>
      <c r="AN29" s="460"/>
      <c r="AO29" s="460"/>
      <c r="AP29" s="460"/>
    </row>
    <row r="30" spans="1:42" ht="20.25" customHeight="1">
      <c r="A30" s="431">
        <v>5</v>
      </c>
      <c r="B30" s="473" t="s">
        <v>426</v>
      </c>
      <c r="C30" s="488">
        <f t="shared" si="9"/>
        <v>80000</v>
      </c>
      <c r="D30" s="488">
        <f t="shared" si="10"/>
        <v>80000</v>
      </c>
      <c r="E30" s="462">
        <f t="shared" si="11"/>
        <v>80000</v>
      </c>
      <c r="F30" s="462">
        <f>65000+15000</f>
        <v>80000</v>
      </c>
      <c r="G30" s="462"/>
      <c r="H30" s="462">
        <f t="shared" si="7"/>
        <v>0</v>
      </c>
      <c r="I30" s="462"/>
      <c r="J30" s="462"/>
      <c r="K30" s="489">
        <f t="shared" si="2"/>
        <v>0</v>
      </c>
      <c r="L30" s="489">
        <f t="shared" si="3"/>
        <v>0</v>
      </c>
      <c r="M30" s="462"/>
      <c r="N30" s="489">
        <f t="shared" si="4"/>
        <v>0</v>
      </c>
      <c r="O30" s="489">
        <f t="shared" si="5"/>
        <v>0</v>
      </c>
      <c r="P30" s="462"/>
      <c r="Q30" s="462">
        <f>R30+S30</f>
        <v>0</v>
      </c>
      <c r="R30" s="462">
        <f>T30+U30+V30+W30+X30+Y30+AA30</f>
        <v>0</v>
      </c>
      <c r="S30" s="462">
        <f t="shared" si="45"/>
        <v>0</v>
      </c>
      <c r="T30" s="462"/>
      <c r="U30" s="462"/>
      <c r="V30" s="462"/>
      <c r="W30" s="462"/>
      <c r="X30" s="462"/>
      <c r="Y30" s="462"/>
      <c r="Z30" s="462">
        <f t="shared" si="46"/>
        <v>0</v>
      </c>
      <c r="AA30" s="462"/>
      <c r="AB30" s="462"/>
      <c r="AC30" s="462"/>
      <c r="AD30" s="462">
        <f t="shared" si="47"/>
        <v>0</v>
      </c>
      <c r="AE30" s="462">
        <f t="shared" si="48"/>
        <v>0</v>
      </c>
      <c r="AF30" s="462">
        <f t="shared" si="49"/>
        <v>0</v>
      </c>
      <c r="AG30" s="462"/>
      <c r="AH30" s="462"/>
      <c r="AI30" s="462"/>
      <c r="AJ30" s="462"/>
      <c r="AK30" s="462"/>
      <c r="AL30" s="462">
        <f t="shared" si="50"/>
        <v>0</v>
      </c>
      <c r="AM30" s="462"/>
      <c r="AN30" s="462"/>
      <c r="AO30" s="462"/>
      <c r="AP30" s="462"/>
    </row>
    <row r="31" spans="1:42" ht="20.25" customHeight="1">
      <c r="A31" s="431">
        <v>6</v>
      </c>
      <c r="B31" s="473" t="s">
        <v>440</v>
      </c>
      <c r="C31" s="488">
        <f t="shared" si="9"/>
        <v>0</v>
      </c>
      <c r="D31" s="488">
        <f t="shared" si="10"/>
        <v>0</v>
      </c>
      <c r="E31" s="462">
        <f t="shared" si="11"/>
        <v>0</v>
      </c>
      <c r="F31" s="462"/>
      <c r="G31" s="462"/>
      <c r="H31" s="462">
        <f t="shared" si="7"/>
        <v>0</v>
      </c>
      <c r="I31" s="462"/>
      <c r="J31" s="462"/>
      <c r="K31" s="489">
        <f t="shared" si="2"/>
        <v>0</v>
      </c>
      <c r="L31" s="489">
        <f t="shared" si="3"/>
        <v>0</v>
      </c>
      <c r="M31" s="462"/>
      <c r="N31" s="489">
        <f t="shared" si="4"/>
        <v>0</v>
      </c>
      <c r="O31" s="489">
        <f t="shared" si="5"/>
        <v>0</v>
      </c>
      <c r="P31" s="462"/>
      <c r="Q31" s="462">
        <f>R31+S31</f>
        <v>0</v>
      </c>
      <c r="R31" s="462">
        <f t="shared" si="44"/>
        <v>0</v>
      </c>
      <c r="S31" s="462">
        <f t="shared" si="45"/>
        <v>0</v>
      </c>
      <c r="T31" s="462"/>
      <c r="U31" s="462"/>
      <c r="V31" s="462"/>
      <c r="W31" s="462"/>
      <c r="X31" s="462"/>
      <c r="Y31" s="462"/>
      <c r="Z31" s="462">
        <f t="shared" si="46"/>
        <v>0</v>
      </c>
      <c r="AA31" s="462"/>
      <c r="AB31" s="462"/>
      <c r="AC31" s="462"/>
      <c r="AD31" s="462">
        <f t="shared" si="47"/>
        <v>0</v>
      </c>
      <c r="AE31" s="462">
        <f t="shared" si="48"/>
        <v>0</v>
      </c>
      <c r="AF31" s="462">
        <f t="shared" si="49"/>
        <v>0</v>
      </c>
      <c r="AG31" s="462"/>
      <c r="AH31" s="462"/>
      <c r="AI31" s="462"/>
      <c r="AJ31" s="462"/>
      <c r="AK31" s="462"/>
      <c r="AL31" s="462">
        <f t="shared" si="50"/>
        <v>0</v>
      </c>
      <c r="AM31" s="462"/>
      <c r="AN31" s="462"/>
      <c r="AO31" s="462"/>
      <c r="AP31" s="462"/>
    </row>
    <row r="32" spans="1:42" s="434" customFormat="1" ht="19.5" customHeight="1">
      <c r="A32" s="1091" t="s">
        <v>18</v>
      </c>
      <c r="B32" s="433" t="s">
        <v>386</v>
      </c>
      <c r="C32" s="489">
        <f t="shared" ref="C32:J32" si="51">C34+C41+C47+C67+C85+C89+C98+C106+C114+C131+C146+C154+C165+C166</f>
        <v>10362879</v>
      </c>
      <c r="D32" s="489">
        <f t="shared" si="51"/>
        <v>9701905</v>
      </c>
      <c r="E32" s="495">
        <f t="shared" si="51"/>
        <v>4190457</v>
      </c>
      <c r="F32" s="495">
        <f t="shared" si="51"/>
        <v>2367250</v>
      </c>
      <c r="G32" s="495">
        <f t="shared" si="51"/>
        <v>1823207</v>
      </c>
      <c r="H32" s="495">
        <f t="shared" si="51"/>
        <v>6172422</v>
      </c>
      <c r="I32" s="495">
        <f t="shared" si="51"/>
        <v>6172422</v>
      </c>
      <c r="J32" s="495">
        <f t="shared" si="51"/>
        <v>0</v>
      </c>
      <c r="K32" s="489">
        <f t="shared" si="2"/>
        <v>0</v>
      </c>
      <c r="L32" s="489">
        <f t="shared" si="3"/>
        <v>0</v>
      </c>
      <c r="M32" s="495">
        <f>M34+M41+M47+M67+M85+M89+M98+M106+M114+M131+M146+M154+M165+M166</f>
        <v>0</v>
      </c>
      <c r="N32" s="489">
        <f t="shared" si="4"/>
        <v>518719</v>
      </c>
      <c r="O32" s="489">
        <f t="shared" si="5"/>
        <v>0</v>
      </c>
      <c r="P32" s="495">
        <f t="shared" ref="P32:AP32" si="52">P34+P41+P47+P67+P85+P89+P98+P106+P114+P131+P146+P154+P165+P166</f>
        <v>518719</v>
      </c>
      <c r="Q32" s="495">
        <f t="shared" si="52"/>
        <v>0</v>
      </c>
      <c r="R32" s="495">
        <f t="shared" si="52"/>
        <v>0</v>
      </c>
      <c r="S32" s="495">
        <f t="shared" si="52"/>
        <v>0</v>
      </c>
      <c r="T32" s="495">
        <f t="shared" si="52"/>
        <v>0</v>
      </c>
      <c r="U32" s="495">
        <f t="shared" si="52"/>
        <v>0</v>
      </c>
      <c r="V32" s="495">
        <f t="shared" si="52"/>
        <v>0</v>
      </c>
      <c r="W32" s="495">
        <f t="shared" si="52"/>
        <v>0</v>
      </c>
      <c r="X32" s="495">
        <f t="shared" si="52"/>
        <v>0</v>
      </c>
      <c r="Y32" s="495">
        <f t="shared" si="52"/>
        <v>0</v>
      </c>
      <c r="Z32" s="495">
        <f t="shared" si="52"/>
        <v>0</v>
      </c>
      <c r="AA32" s="495">
        <f t="shared" si="52"/>
        <v>0</v>
      </c>
      <c r="AB32" s="495">
        <f t="shared" si="52"/>
        <v>0</v>
      </c>
      <c r="AC32" s="495">
        <f t="shared" si="52"/>
        <v>0</v>
      </c>
      <c r="AD32" s="495">
        <f t="shared" si="52"/>
        <v>-1179693</v>
      </c>
      <c r="AE32" s="495">
        <f t="shared" si="52"/>
        <v>109515</v>
      </c>
      <c r="AF32" s="495">
        <f t="shared" si="52"/>
        <v>-1289208</v>
      </c>
      <c r="AG32" s="495">
        <f t="shared" si="52"/>
        <v>0</v>
      </c>
      <c r="AH32" s="495">
        <f t="shared" si="52"/>
        <v>0</v>
      </c>
      <c r="AI32" s="495">
        <f t="shared" si="52"/>
        <v>0</v>
      </c>
      <c r="AJ32" s="495">
        <f t="shared" si="52"/>
        <v>0</v>
      </c>
      <c r="AK32" s="495">
        <f t="shared" si="52"/>
        <v>109515</v>
      </c>
      <c r="AL32" s="495">
        <f t="shared" si="52"/>
        <v>-1289208</v>
      </c>
      <c r="AM32" s="495">
        <f t="shared" si="52"/>
        <v>0</v>
      </c>
      <c r="AN32" s="495">
        <f t="shared" si="52"/>
        <v>-1289208</v>
      </c>
      <c r="AO32" s="495">
        <f t="shared" si="52"/>
        <v>0</v>
      </c>
      <c r="AP32" s="495">
        <f t="shared" si="52"/>
        <v>0</v>
      </c>
    </row>
    <row r="33" spans="1:42" s="434" customFormat="1" ht="47.25">
      <c r="A33" s="1091"/>
      <c r="B33" s="435" t="s">
        <v>387</v>
      </c>
      <c r="C33" s="488">
        <f>E33+H33</f>
        <v>157253</v>
      </c>
      <c r="D33" s="488">
        <f>E33+H33+M33+P33+Q33+AD33</f>
        <v>157253</v>
      </c>
      <c r="E33" s="460">
        <f>F33+G33</f>
        <v>157253</v>
      </c>
      <c r="F33" s="460"/>
      <c r="G33" s="460">
        <f>G40+G46+G63+G66+G80+G84+G88+G94+G97+G103+G105+G111+G113+G127+G130+G141+G145+G151+G153+G159+G164+G171+G173+(G64+G81+G95+G142+G161)*10%</f>
        <v>157253</v>
      </c>
      <c r="H33" s="460"/>
      <c r="I33" s="460"/>
      <c r="J33" s="460"/>
      <c r="K33" s="489">
        <f t="shared" si="2"/>
        <v>0</v>
      </c>
      <c r="L33" s="489">
        <f t="shared" si="3"/>
        <v>0</v>
      </c>
      <c r="M33" s="460"/>
      <c r="N33" s="489">
        <f t="shared" si="4"/>
        <v>0</v>
      </c>
      <c r="O33" s="489">
        <f t="shared" si="5"/>
        <v>0</v>
      </c>
      <c r="P33" s="460"/>
      <c r="Q33" s="462">
        <f>R33+S33</f>
        <v>0</v>
      </c>
      <c r="R33" s="462">
        <f>T33+U33+V33+W33+X33+Y33+AA33</f>
        <v>0</v>
      </c>
      <c r="S33" s="462">
        <f>AB33</f>
        <v>0</v>
      </c>
      <c r="T33" s="462"/>
      <c r="U33" s="462"/>
      <c r="V33" s="462"/>
      <c r="W33" s="462"/>
      <c r="X33" s="462"/>
      <c r="Y33" s="462"/>
      <c r="Z33" s="462"/>
      <c r="AA33" s="462"/>
      <c r="AB33" s="462"/>
      <c r="AC33" s="462"/>
      <c r="AD33" s="462">
        <f>AE33+AF33</f>
        <v>0</v>
      </c>
      <c r="AE33" s="462">
        <f>AG33+AH33+AI33+AJ33+AK33+AM33+AO33+AP33</f>
        <v>0</v>
      </c>
      <c r="AF33" s="462">
        <f>AN33</f>
        <v>0</v>
      </c>
      <c r="AG33" s="460"/>
      <c r="AH33" s="460"/>
      <c r="AI33" s="460"/>
      <c r="AJ33" s="460"/>
      <c r="AK33" s="460"/>
      <c r="AL33" s="462">
        <f>AM33+AN33</f>
        <v>0</v>
      </c>
      <c r="AM33" s="460"/>
      <c r="AN33" s="460"/>
      <c r="AO33" s="460"/>
      <c r="AP33" s="460"/>
    </row>
    <row r="34" spans="1:42" s="434" customFormat="1" ht="23.25" customHeight="1">
      <c r="A34" s="561">
        <v>1</v>
      </c>
      <c r="B34" s="490" t="s">
        <v>432</v>
      </c>
      <c r="C34" s="489">
        <f>C35+C39</f>
        <v>157011</v>
      </c>
      <c r="D34" s="489">
        <f>D35+D39</f>
        <v>81595</v>
      </c>
      <c r="E34" s="495">
        <f>F34+G34</f>
        <v>54943</v>
      </c>
      <c r="F34" s="495">
        <f>F35+F39</f>
        <v>47183</v>
      </c>
      <c r="G34" s="495">
        <f>G35+G39</f>
        <v>7760</v>
      </c>
      <c r="H34" s="495">
        <f>I34+J34</f>
        <v>102068</v>
      </c>
      <c r="I34" s="495">
        <f>I35+I39</f>
        <v>102068</v>
      </c>
      <c r="J34" s="495">
        <f>J35+J39</f>
        <v>0</v>
      </c>
      <c r="K34" s="489">
        <f t="shared" si="2"/>
        <v>0</v>
      </c>
      <c r="L34" s="489">
        <f t="shared" si="3"/>
        <v>0</v>
      </c>
      <c r="M34" s="495">
        <f>M35+M39</f>
        <v>0</v>
      </c>
      <c r="N34" s="489">
        <f t="shared" si="4"/>
        <v>0</v>
      </c>
      <c r="O34" s="489">
        <f t="shared" si="5"/>
        <v>0</v>
      </c>
      <c r="P34" s="495">
        <f>P35+P39</f>
        <v>0</v>
      </c>
      <c r="Q34" s="495">
        <f t="shared" ref="Q34:AP34" si="53">Q35+Q39</f>
        <v>0</v>
      </c>
      <c r="R34" s="495">
        <f t="shared" si="53"/>
        <v>0</v>
      </c>
      <c r="S34" s="495">
        <f t="shared" si="53"/>
        <v>0</v>
      </c>
      <c r="T34" s="495">
        <f t="shared" si="53"/>
        <v>0</v>
      </c>
      <c r="U34" s="495">
        <f t="shared" si="53"/>
        <v>0</v>
      </c>
      <c r="V34" s="495">
        <f t="shared" si="53"/>
        <v>0</v>
      </c>
      <c r="W34" s="495">
        <f t="shared" si="53"/>
        <v>0</v>
      </c>
      <c r="X34" s="495">
        <f t="shared" si="53"/>
        <v>0</v>
      </c>
      <c r="Y34" s="495">
        <f t="shared" si="53"/>
        <v>0</v>
      </c>
      <c r="Z34" s="495">
        <f t="shared" si="53"/>
        <v>0</v>
      </c>
      <c r="AA34" s="495">
        <f t="shared" si="53"/>
        <v>0</v>
      </c>
      <c r="AB34" s="495">
        <f t="shared" si="53"/>
        <v>0</v>
      </c>
      <c r="AC34" s="495">
        <f t="shared" si="53"/>
        <v>0</v>
      </c>
      <c r="AD34" s="495">
        <f t="shared" si="53"/>
        <v>-75416</v>
      </c>
      <c r="AE34" s="495">
        <f t="shared" si="53"/>
        <v>0</v>
      </c>
      <c r="AF34" s="495">
        <f t="shared" si="53"/>
        <v>-75416</v>
      </c>
      <c r="AG34" s="495">
        <f t="shared" si="53"/>
        <v>0</v>
      </c>
      <c r="AH34" s="495">
        <f t="shared" si="53"/>
        <v>0</v>
      </c>
      <c r="AI34" s="495">
        <f t="shared" si="53"/>
        <v>0</v>
      </c>
      <c r="AJ34" s="495">
        <f t="shared" si="53"/>
        <v>0</v>
      </c>
      <c r="AK34" s="495">
        <f t="shared" si="53"/>
        <v>0</v>
      </c>
      <c r="AL34" s="495">
        <f t="shared" si="53"/>
        <v>-75416</v>
      </c>
      <c r="AM34" s="495">
        <f t="shared" si="53"/>
        <v>0</v>
      </c>
      <c r="AN34" s="495">
        <f t="shared" si="53"/>
        <v>-75416</v>
      </c>
      <c r="AO34" s="495">
        <f t="shared" si="53"/>
        <v>0</v>
      </c>
      <c r="AP34" s="495">
        <f t="shared" si="53"/>
        <v>0</v>
      </c>
    </row>
    <row r="35" spans="1:42" ht="23.25" customHeight="1">
      <c r="A35" s="431" t="s">
        <v>45</v>
      </c>
      <c r="B35" s="436" t="s">
        <v>401</v>
      </c>
      <c r="C35" s="488">
        <f>SUM(C36:C38)</f>
        <v>149251</v>
      </c>
      <c r="D35" s="488">
        <f t="shared" ref="D35:D40" si="54">E35+H35+M35+P35+Q35+AD35</f>
        <v>73835</v>
      </c>
      <c r="E35" s="488">
        <f t="shared" ref="E35:AP35" si="55">SUM(E36:E38)</f>
        <v>47183</v>
      </c>
      <c r="F35" s="488">
        <f t="shared" si="55"/>
        <v>47183</v>
      </c>
      <c r="G35" s="488">
        <f t="shared" si="55"/>
        <v>0</v>
      </c>
      <c r="H35" s="488">
        <f t="shared" si="55"/>
        <v>102068</v>
      </c>
      <c r="I35" s="488">
        <f t="shared" si="55"/>
        <v>102068</v>
      </c>
      <c r="J35" s="488">
        <f t="shared" si="55"/>
        <v>0</v>
      </c>
      <c r="K35" s="488">
        <f t="shared" si="55"/>
        <v>0</v>
      </c>
      <c r="L35" s="488">
        <f t="shared" si="55"/>
        <v>0</v>
      </c>
      <c r="M35" s="488">
        <f t="shared" si="55"/>
        <v>0</v>
      </c>
      <c r="N35" s="488">
        <f t="shared" si="55"/>
        <v>0</v>
      </c>
      <c r="O35" s="488">
        <f t="shared" si="55"/>
        <v>0</v>
      </c>
      <c r="P35" s="488">
        <f t="shared" si="55"/>
        <v>0</v>
      </c>
      <c r="Q35" s="488">
        <f t="shared" si="55"/>
        <v>0</v>
      </c>
      <c r="R35" s="488">
        <f t="shared" si="55"/>
        <v>0</v>
      </c>
      <c r="S35" s="488">
        <f t="shared" si="55"/>
        <v>0</v>
      </c>
      <c r="T35" s="488">
        <f t="shared" si="55"/>
        <v>0</v>
      </c>
      <c r="U35" s="488">
        <f t="shared" si="55"/>
        <v>0</v>
      </c>
      <c r="V35" s="488">
        <f t="shared" si="55"/>
        <v>0</v>
      </c>
      <c r="W35" s="488">
        <f t="shared" si="55"/>
        <v>0</v>
      </c>
      <c r="X35" s="488">
        <f t="shared" si="55"/>
        <v>0</v>
      </c>
      <c r="Y35" s="488">
        <f t="shared" si="55"/>
        <v>0</v>
      </c>
      <c r="Z35" s="488">
        <f t="shared" si="55"/>
        <v>0</v>
      </c>
      <c r="AA35" s="488">
        <f t="shared" si="55"/>
        <v>0</v>
      </c>
      <c r="AB35" s="488">
        <f t="shared" si="55"/>
        <v>0</v>
      </c>
      <c r="AC35" s="488">
        <f t="shared" si="55"/>
        <v>0</v>
      </c>
      <c r="AD35" s="488">
        <f t="shared" si="55"/>
        <v>-75416</v>
      </c>
      <c r="AE35" s="488">
        <f t="shared" si="55"/>
        <v>0</v>
      </c>
      <c r="AF35" s="488">
        <f t="shared" si="55"/>
        <v>-75416</v>
      </c>
      <c r="AG35" s="488">
        <f t="shared" si="55"/>
        <v>0</v>
      </c>
      <c r="AH35" s="488">
        <f t="shared" si="55"/>
        <v>0</v>
      </c>
      <c r="AI35" s="488">
        <f t="shared" si="55"/>
        <v>0</v>
      </c>
      <c r="AJ35" s="488">
        <f t="shared" si="55"/>
        <v>0</v>
      </c>
      <c r="AK35" s="488">
        <f t="shared" si="55"/>
        <v>0</v>
      </c>
      <c r="AL35" s="488">
        <f t="shared" si="55"/>
        <v>-75416</v>
      </c>
      <c r="AM35" s="488">
        <f t="shared" si="55"/>
        <v>0</v>
      </c>
      <c r="AN35" s="488">
        <f t="shared" si="55"/>
        <v>-75416</v>
      </c>
      <c r="AO35" s="488">
        <f t="shared" si="55"/>
        <v>0</v>
      </c>
      <c r="AP35" s="488">
        <f t="shared" si="55"/>
        <v>0</v>
      </c>
    </row>
    <row r="36" spans="1:42" s="424" customFormat="1" ht="23.25" customHeight="1">
      <c r="A36" s="432" t="s">
        <v>433</v>
      </c>
      <c r="B36" s="435" t="s">
        <v>455</v>
      </c>
      <c r="C36" s="488">
        <f t="shared" ref="C36:C40" si="56">E36+H36</f>
        <v>59015</v>
      </c>
      <c r="D36" s="488">
        <f t="shared" si="54"/>
        <v>59015</v>
      </c>
      <c r="E36" s="460">
        <f t="shared" ref="E36:E121" si="57">F36+G36</f>
        <v>32363</v>
      </c>
      <c r="F36" s="460">
        <f>22800+8810+719+34</f>
        <v>32363</v>
      </c>
      <c r="G36" s="460"/>
      <c r="H36" s="460">
        <f t="shared" ref="H36:H123" si="58">I36+J36</f>
        <v>26652</v>
      </c>
      <c r="I36" s="460">
        <v>26652</v>
      </c>
      <c r="J36" s="460"/>
      <c r="K36" s="489">
        <f t="shared" si="2"/>
        <v>0</v>
      </c>
      <c r="L36" s="489">
        <f t="shared" si="3"/>
        <v>0</v>
      </c>
      <c r="M36" s="460"/>
      <c r="N36" s="489">
        <f t="shared" si="4"/>
        <v>0</v>
      </c>
      <c r="O36" s="489">
        <f t="shared" si="5"/>
        <v>0</v>
      </c>
      <c r="P36" s="460"/>
      <c r="Q36" s="462">
        <f t="shared" ref="Q36:Q40" si="59">R36+S36</f>
        <v>0</v>
      </c>
      <c r="R36" s="462">
        <f t="shared" ref="R36:R40" si="60">T36+U36+V36+W36+X36+Y36+AA36</f>
        <v>0</v>
      </c>
      <c r="S36" s="462">
        <f t="shared" ref="S36:S40" si="61">AB36</f>
        <v>0</v>
      </c>
      <c r="T36" s="462"/>
      <c r="U36" s="462"/>
      <c r="V36" s="462"/>
      <c r="W36" s="462"/>
      <c r="X36" s="462"/>
      <c r="Y36" s="462"/>
      <c r="Z36" s="462">
        <f t="shared" ref="Z36:Z40" si="62">AB36+AA36</f>
        <v>0</v>
      </c>
      <c r="AA36" s="462"/>
      <c r="AB36" s="462"/>
      <c r="AC36" s="462"/>
      <c r="AD36" s="462">
        <f t="shared" ref="AD36:AD40" si="63">AE36+AF36</f>
        <v>0</v>
      </c>
      <c r="AE36" s="462">
        <f t="shared" ref="AE36:AE40" si="64">AG36+AH36+AI36+AJ36+AK36+AM36+AO36+AP36</f>
        <v>0</v>
      </c>
      <c r="AF36" s="462">
        <f t="shared" ref="AF36:AF40" si="65">AN36</f>
        <v>0</v>
      </c>
      <c r="AG36" s="460"/>
      <c r="AH36" s="460"/>
      <c r="AI36" s="460"/>
      <c r="AJ36" s="460"/>
      <c r="AK36" s="460"/>
      <c r="AL36" s="462">
        <f t="shared" ref="AL36:AL40" si="66">AM36+AN36</f>
        <v>0</v>
      </c>
      <c r="AM36" s="460"/>
      <c r="AN36" s="460"/>
      <c r="AO36" s="460"/>
      <c r="AP36" s="460"/>
    </row>
    <row r="37" spans="1:42" s="424" customFormat="1">
      <c r="A37" s="432" t="s">
        <v>433</v>
      </c>
      <c r="B37" s="435" t="s">
        <v>456</v>
      </c>
      <c r="C37" s="488">
        <f t="shared" si="56"/>
        <v>90236</v>
      </c>
      <c r="D37" s="488">
        <f t="shared" si="54"/>
        <v>14820</v>
      </c>
      <c r="E37" s="460">
        <f t="shared" si="57"/>
        <v>14820</v>
      </c>
      <c r="F37" s="460">
        <v>14820</v>
      </c>
      <c r="G37" s="460"/>
      <c r="H37" s="460">
        <f t="shared" si="58"/>
        <v>75416</v>
      </c>
      <c r="I37" s="460">
        <v>75416</v>
      </c>
      <c r="J37" s="460"/>
      <c r="K37" s="489">
        <f t="shared" si="2"/>
        <v>0</v>
      </c>
      <c r="L37" s="489">
        <f t="shared" si="3"/>
        <v>0</v>
      </c>
      <c r="M37" s="460"/>
      <c r="N37" s="489">
        <f t="shared" si="4"/>
        <v>0</v>
      </c>
      <c r="O37" s="489">
        <f t="shared" si="5"/>
        <v>0</v>
      </c>
      <c r="P37" s="460"/>
      <c r="Q37" s="462">
        <f t="shared" si="59"/>
        <v>0</v>
      </c>
      <c r="R37" s="462">
        <f t="shared" si="60"/>
        <v>0</v>
      </c>
      <c r="S37" s="462">
        <f t="shared" si="61"/>
        <v>0</v>
      </c>
      <c r="T37" s="462"/>
      <c r="U37" s="462"/>
      <c r="V37" s="462"/>
      <c r="W37" s="462"/>
      <c r="X37" s="462"/>
      <c r="Y37" s="462"/>
      <c r="Z37" s="462">
        <f t="shared" si="62"/>
        <v>0</v>
      </c>
      <c r="AA37" s="462"/>
      <c r="AB37" s="462"/>
      <c r="AC37" s="462"/>
      <c r="AD37" s="462">
        <f t="shared" si="63"/>
        <v>-75416</v>
      </c>
      <c r="AE37" s="462">
        <f t="shared" si="64"/>
        <v>0</v>
      </c>
      <c r="AF37" s="462">
        <f t="shared" si="65"/>
        <v>-75416</v>
      </c>
      <c r="AG37" s="460"/>
      <c r="AH37" s="460"/>
      <c r="AI37" s="460"/>
      <c r="AJ37" s="460"/>
      <c r="AK37" s="460"/>
      <c r="AL37" s="462">
        <f t="shared" si="66"/>
        <v>-75416</v>
      </c>
      <c r="AM37" s="460"/>
      <c r="AN37" s="460">
        <v>-75416</v>
      </c>
      <c r="AO37" s="460"/>
      <c r="AP37" s="460"/>
    </row>
    <row r="38" spans="1:42" s="424" customFormat="1">
      <c r="A38" s="432" t="s">
        <v>470</v>
      </c>
      <c r="B38" s="435"/>
      <c r="C38" s="488">
        <f t="shared" ref="C38" si="67">E38+H38</f>
        <v>0</v>
      </c>
      <c r="D38" s="488">
        <f t="shared" si="54"/>
        <v>0</v>
      </c>
      <c r="E38" s="460">
        <f t="shared" ref="E38" si="68">F38+G38</f>
        <v>0</v>
      </c>
      <c r="F38" s="460"/>
      <c r="G38" s="460"/>
      <c r="H38" s="460">
        <f t="shared" ref="H38" si="69">I38+J38</f>
        <v>0</v>
      </c>
      <c r="I38" s="460"/>
      <c r="J38" s="460"/>
      <c r="K38" s="489">
        <f t="shared" ref="K38" si="70">L38+M38</f>
        <v>0</v>
      </c>
      <c r="L38" s="489">
        <f t="shared" ref="L38" si="71">T38+AG38</f>
        <v>0</v>
      </c>
      <c r="M38" s="460"/>
      <c r="N38" s="489">
        <f t="shared" ref="N38" si="72">O38+P38</f>
        <v>0</v>
      </c>
      <c r="O38" s="489">
        <f t="shared" ref="O38" si="73">Y38+AP38</f>
        <v>0</v>
      </c>
      <c r="P38" s="460"/>
      <c r="Q38" s="462">
        <f t="shared" ref="Q38" si="74">R38+S38</f>
        <v>0</v>
      </c>
      <c r="R38" s="462">
        <f t="shared" ref="R38" si="75">T38+U38+V38+W38+X38+Y38+AA38</f>
        <v>0</v>
      </c>
      <c r="S38" s="462">
        <f t="shared" ref="S38" si="76">AB38</f>
        <v>0</v>
      </c>
      <c r="T38" s="462"/>
      <c r="U38" s="462"/>
      <c r="V38" s="462"/>
      <c r="W38" s="462"/>
      <c r="X38" s="462"/>
      <c r="Y38" s="462"/>
      <c r="Z38" s="462">
        <f t="shared" ref="Z38" si="77">AB38+AA38</f>
        <v>0</v>
      </c>
      <c r="AA38" s="462"/>
      <c r="AB38" s="462"/>
      <c r="AC38" s="462"/>
      <c r="AD38" s="462">
        <f t="shared" ref="AD38" si="78">AE38+AF38</f>
        <v>0</v>
      </c>
      <c r="AE38" s="462">
        <f t="shared" ref="AE38" si="79">AG38+AH38+AI38+AJ38+AK38+AM38+AO38+AP38</f>
        <v>0</v>
      </c>
      <c r="AF38" s="462">
        <f t="shared" ref="AF38" si="80">AN38</f>
        <v>0</v>
      </c>
      <c r="AG38" s="460"/>
      <c r="AH38" s="460"/>
      <c r="AI38" s="460"/>
      <c r="AJ38" s="460"/>
      <c r="AK38" s="460"/>
      <c r="AL38" s="462">
        <f t="shared" ref="AL38" si="81">AM38+AN38</f>
        <v>0</v>
      </c>
      <c r="AM38" s="460"/>
      <c r="AN38" s="460"/>
      <c r="AO38" s="460"/>
      <c r="AP38" s="460"/>
    </row>
    <row r="39" spans="1:42" ht="23.25" customHeight="1">
      <c r="A39" s="431" t="s">
        <v>56</v>
      </c>
      <c r="B39" s="480" t="s">
        <v>402</v>
      </c>
      <c r="C39" s="488">
        <f t="shared" si="56"/>
        <v>7760</v>
      </c>
      <c r="D39" s="488">
        <f t="shared" si="54"/>
        <v>7760</v>
      </c>
      <c r="E39" s="462">
        <f t="shared" si="57"/>
        <v>7760</v>
      </c>
      <c r="F39" s="462"/>
      <c r="G39" s="462">
        <f>10000-2240</f>
        <v>7760</v>
      </c>
      <c r="H39" s="462">
        <f>I39+J39</f>
        <v>0</v>
      </c>
      <c r="I39" s="462"/>
      <c r="J39" s="462"/>
      <c r="K39" s="489">
        <f t="shared" si="2"/>
        <v>0</v>
      </c>
      <c r="L39" s="489">
        <f t="shared" si="3"/>
        <v>0</v>
      </c>
      <c r="M39" s="462"/>
      <c r="N39" s="489">
        <f t="shared" si="4"/>
        <v>0</v>
      </c>
      <c r="O39" s="489">
        <f t="shared" si="5"/>
        <v>0</v>
      </c>
      <c r="P39" s="462"/>
      <c r="Q39" s="462">
        <f t="shared" si="59"/>
        <v>0</v>
      </c>
      <c r="R39" s="462">
        <f t="shared" si="60"/>
        <v>0</v>
      </c>
      <c r="S39" s="462">
        <f t="shared" si="61"/>
        <v>0</v>
      </c>
      <c r="T39" s="462"/>
      <c r="U39" s="462"/>
      <c r="V39" s="462"/>
      <c r="W39" s="462"/>
      <c r="X39" s="462"/>
      <c r="Y39" s="462"/>
      <c r="Z39" s="462">
        <f t="shared" si="62"/>
        <v>0</v>
      </c>
      <c r="AA39" s="462"/>
      <c r="AB39" s="462"/>
      <c r="AC39" s="462"/>
      <c r="AD39" s="462">
        <f t="shared" si="63"/>
        <v>0</v>
      </c>
      <c r="AE39" s="462">
        <f t="shared" si="64"/>
        <v>0</v>
      </c>
      <c r="AF39" s="462">
        <f t="shared" si="65"/>
        <v>0</v>
      </c>
      <c r="AG39" s="462"/>
      <c r="AH39" s="462"/>
      <c r="AI39" s="462"/>
      <c r="AJ39" s="462"/>
      <c r="AK39" s="462"/>
      <c r="AL39" s="462">
        <f t="shared" si="66"/>
        <v>0</v>
      </c>
      <c r="AM39" s="462"/>
      <c r="AN39" s="462"/>
      <c r="AO39" s="462"/>
      <c r="AP39" s="462"/>
    </row>
    <row r="40" spans="1:42" s="424" customFormat="1" ht="23.25" customHeight="1">
      <c r="A40" s="432"/>
      <c r="B40" s="439" t="s">
        <v>443</v>
      </c>
      <c r="C40" s="488">
        <f t="shared" si="56"/>
        <v>776</v>
      </c>
      <c r="D40" s="488">
        <f t="shared" si="54"/>
        <v>776</v>
      </c>
      <c r="E40" s="460">
        <f>F40+G40</f>
        <v>776</v>
      </c>
      <c r="F40" s="460"/>
      <c r="G40" s="460">
        <f>G39*10%</f>
        <v>776</v>
      </c>
      <c r="H40" s="462">
        <f>I40+J40</f>
        <v>0</v>
      </c>
      <c r="I40" s="460"/>
      <c r="J40" s="460"/>
      <c r="K40" s="489">
        <f t="shared" si="2"/>
        <v>0</v>
      </c>
      <c r="L40" s="489">
        <f t="shared" si="3"/>
        <v>0</v>
      </c>
      <c r="M40" s="460"/>
      <c r="N40" s="489">
        <f t="shared" si="4"/>
        <v>0</v>
      </c>
      <c r="O40" s="489">
        <f t="shared" si="5"/>
        <v>0</v>
      </c>
      <c r="P40" s="460"/>
      <c r="Q40" s="462">
        <f t="shared" si="59"/>
        <v>0</v>
      </c>
      <c r="R40" s="462">
        <f t="shared" si="60"/>
        <v>0</v>
      </c>
      <c r="S40" s="462">
        <f t="shared" si="61"/>
        <v>0</v>
      </c>
      <c r="T40" s="462"/>
      <c r="U40" s="462"/>
      <c r="V40" s="462"/>
      <c r="W40" s="462"/>
      <c r="X40" s="462"/>
      <c r="Y40" s="462"/>
      <c r="Z40" s="462">
        <f t="shared" si="62"/>
        <v>0</v>
      </c>
      <c r="AA40" s="462"/>
      <c r="AB40" s="462"/>
      <c r="AC40" s="462"/>
      <c r="AD40" s="462">
        <f t="shared" si="63"/>
        <v>0</v>
      </c>
      <c r="AE40" s="462">
        <f t="shared" si="64"/>
        <v>0</v>
      </c>
      <c r="AF40" s="462">
        <f t="shared" si="65"/>
        <v>0</v>
      </c>
      <c r="AG40" s="460"/>
      <c r="AH40" s="460"/>
      <c r="AI40" s="460"/>
      <c r="AJ40" s="460"/>
      <c r="AK40" s="460"/>
      <c r="AL40" s="462">
        <f t="shared" si="66"/>
        <v>0</v>
      </c>
      <c r="AM40" s="460"/>
      <c r="AN40" s="460"/>
      <c r="AO40" s="460"/>
      <c r="AP40" s="460"/>
    </row>
    <row r="41" spans="1:42" s="494" customFormat="1" ht="21" customHeight="1">
      <c r="A41" s="561">
        <v>2</v>
      </c>
      <c r="B41" s="433" t="s">
        <v>388</v>
      </c>
      <c r="C41" s="489">
        <f>C42+C45</f>
        <v>78850</v>
      </c>
      <c r="D41" s="489">
        <f>D42+D45</f>
        <v>65034</v>
      </c>
      <c r="E41" s="495">
        <f>F41+G41</f>
        <v>34560</v>
      </c>
      <c r="F41" s="495">
        <f>F42+F45</f>
        <v>13200</v>
      </c>
      <c r="G41" s="495">
        <f>G42+G45</f>
        <v>21360</v>
      </c>
      <c r="H41" s="495">
        <f>I41+J41</f>
        <v>44290</v>
      </c>
      <c r="I41" s="495">
        <f>I42+I45</f>
        <v>44290</v>
      </c>
      <c r="J41" s="495">
        <f>J42+J45</f>
        <v>0</v>
      </c>
      <c r="K41" s="489">
        <f t="shared" si="2"/>
        <v>0</v>
      </c>
      <c r="L41" s="489">
        <f t="shared" si="3"/>
        <v>0</v>
      </c>
      <c r="M41" s="495">
        <f>M42+M45</f>
        <v>0</v>
      </c>
      <c r="N41" s="489">
        <f t="shared" si="4"/>
        <v>3662</v>
      </c>
      <c r="O41" s="489">
        <f t="shared" si="5"/>
        <v>0</v>
      </c>
      <c r="P41" s="495">
        <f t="shared" ref="P41:AP41" si="82">P42+P45</f>
        <v>3662</v>
      </c>
      <c r="Q41" s="495">
        <f t="shared" si="82"/>
        <v>0</v>
      </c>
      <c r="R41" s="495">
        <f t="shared" si="82"/>
        <v>0</v>
      </c>
      <c r="S41" s="495">
        <f t="shared" si="82"/>
        <v>0</v>
      </c>
      <c r="T41" s="495">
        <f t="shared" si="82"/>
        <v>0</v>
      </c>
      <c r="U41" s="495">
        <f t="shared" si="82"/>
        <v>0</v>
      </c>
      <c r="V41" s="495">
        <f t="shared" si="82"/>
        <v>0</v>
      </c>
      <c r="W41" s="495">
        <f t="shared" si="82"/>
        <v>0</v>
      </c>
      <c r="X41" s="495">
        <f t="shared" si="82"/>
        <v>0</v>
      </c>
      <c r="Y41" s="495">
        <f t="shared" si="82"/>
        <v>0</v>
      </c>
      <c r="Z41" s="495">
        <f t="shared" si="82"/>
        <v>0</v>
      </c>
      <c r="AA41" s="495">
        <f t="shared" si="82"/>
        <v>0</v>
      </c>
      <c r="AB41" s="495">
        <f t="shared" si="82"/>
        <v>0</v>
      </c>
      <c r="AC41" s="495">
        <f t="shared" si="82"/>
        <v>0</v>
      </c>
      <c r="AD41" s="495">
        <f t="shared" si="82"/>
        <v>-17478</v>
      </c>
      <c r="AE41" s="495">
        <f t="shared" si="82"/>
        <v>0</v>
      </c>
      <c r="AF41" s="495">
        <f t="shared" si="82"/>
        <v>-17478</v>
      </c>
      <c r="AG41" s="495">
        <f t="shared" si="82"/>
        <v>0</v>
      </c>
      <c r="AH41" s="495">
        <f t="shared" si="82"/>
        <v>0</v>
      </c>
      <c r="AI41" s="495">
        <f t="shared" si="82"/>
        <v>0</v>
      </c>
      <c r="AJ41" s="495">
        <f t="shared" si="82"/>
        <v>0</v>
      </c>
      <c r="AK41" s="495">
        <f t="shared" si="82"/>
        <v>0</v>
      </c>
      <c r="AL41" s="495">
        <f t="shared" si="82"/>
        <v>-17478</v>
      </c>
      <c r="AM41" s="495">
        <f t="shared" si="82"/>
        <v>0</v>
      </c>
      <c r="AN41" s="495">
        <f t="shared" si="82"/>
        <v>-17478</v>
      </c>
      <c r="AO41" s="495">
        <f t="shared" si="82"/>
        <v>0</v>
      </c>
      <c r="AP41" s="495">
        <f t="shared" si="82"/>
        <v>0</v>
      </c>
    </row>
    <row r="42" spans="1:42" ht="21" customHeight="1">
      <c r="A42" s="431" t="s">
        <v>61</v>
      </c>
      <c r="B42" s="436" t="s">
        <v>401</v>
      </c>
      <c r="C42" s="488">
        <f t="shared" ref="C42:C46" si="83">E42+H42</f>
        <v>57490</v>
      </c>
      <c r="D42" s="488">
        <f t="shared" ref="D42:D46" si="84">E42+H42+M42+P42+Q42+AD42</f>
        <v>43674</v>
      </c>
      <c r="E42" s="462">
        <f t="shared" si="57"/>
        <v>13200</v>
      </c>
      <c r="F42" s="462">
        <f>F43+F44</f>
        <v>13200</v>
      </c>
      <c r="G42" s="462"/>
      <c r="H42" s="462">
        <f t="shared" si="58"/>
        <v>44290</v>
      </c>
      <c r="I42" s="462">
        <f>I43+I44</f>
        <v>44290</v>
      </c>
      <c r="J42" s="462">
        <f>J43+J44</f>
        <v>0</v>
      </c>
      <c r="K42" s="489">
        <f t="shared" si="2"/>
        <v>0</v>
      </c>
      <c r="L42" s="489">
        <f t="shared" si="3"/>
        <v>0</v>
      </c>
      <c r="M42" s="462">
        <f>M43+M44</f>
        <v>0</v>
      </c>
      <c r="N42" s="489">
        <f t="shared" si="4"/>
        <v>3662</v>
      </c>
      <c r="O42" s="489">
        <f t="shared" si="5"/>
        <v>0</v>
      </c>
      <c r="P42" s="462">
        <f>P43+P44</f>
        <v>3662</v>
      </c>
      <c r="Q42" s="462">
        <f t="shared" ref="Q42:AP42" si="85">Q43+Q44</f>
        <v>0</v>
      </c>
      <c r="R42" s="462">
        <f t="shared" si="85"/>
        <v>0</v>
      </c>
      <c r="S42" s="462">
        <f t="shared" si="85"/>
        <v>0</v>
      </c>
      <c r="T42" s="462">
        <f t="shared" si="85"/>
        <v>0</v>
      </c>
      <c r="U42" s="462">
        <f t="shared" si="85"/>
        <v>0</v>
      </c>
      <c r="V42" s="462">
        <f t="shared" si="85"/>
        <v>0</v>
      </c>
      <c r="W42" s="462">
        <f t="shared" si="85"/>
        <v>0</v>
      </c>
      <c r="X42" s="462">
        <f t="shared" si="85"/>
        <v>0</v>
      </c>
      <c r="Y42" s="462">
        <f t="shared" si="85"/>
        <v>0</v>
      </c>
      <c r="Z42" s="462">
        <f t="shared" si="85"/>
        <v>0</v>
      </c>
      <c r="AA42" s="462">
        <f t="shared" si="85"/>
        <v>0</v>
      </c>
      <c r="AB42" s="462">
        <f t="shared" si="85"/>
        <v>0</v>
      </c>
      <c r="AC42" s="462">
        <f t="shared" si="85"/>
        <v>0</v>
      </c>
      <c r="AD42" s="462">
        <f t="shared" si="85"/>
        <v>-17478</v>
      </c>
      <c r="AE42" s="462">
        <f t="shared" si="85"/>
        <v>0</v>
      </c>
      <c r="AF42" s="462">
        <f t="shared" si="85"/>
        <v>-17478</v>
      </c>
      <c r="AG42" s="462">
        <f t="shared" si="85"/>
        <v>0</v>
      </c>
      <c r="AH42" s="462">
        <f t="shared" si="85"/>
        <v>0</v>
      </c>
      <c r="AI42" s="462">
        <f t="shared" si="85"/>
        <v>0</v>
      </c>
      <c r="AJ42" s="462">
        <f t="shared" si="85"/>
        <v>0</v>
      </c>
      <c r="AK42" s="462">
        <f t="shared" si="85"/>
        <v>0</v>
      </c>
      <c r="AL42" s="462">
        <f t="shared" si="85"/>
        <v>-17478</v>
      </c>
      <c r="AM42" s="462">
        <f t="shared" si="85"/>
        <v>0</v>
      </c>
      <c r="AN42" s="462">
        <f t="shared" si="85"/>
        <v>-17478</v>
      </c>
      <c r="AO42" s="462">
        <f t="shared" si="85"/>
        <v>0</v>
      </c>
      <c r="AP42" s="462">
        <f t="shared" si="85"/>
        <v>0</v>
      </c>
    </row>
    <row r="43" spans="1:42" s="424" customFormat="1" ht="21" customHeight="1">
      <c r="A43" s="432" t="s">
        <v>433</v>
      </c>
      <c r="B43" s="435" t="s">
        <v>455</v>
      </c>
      <c r="C43" s="488">
        <f t="shared" si="83"/>
        <v>37029</v>
      </c>
      <c r="D43" s="488">
        <f t="shared" si="84"/>
        <v>37029</v>
      </c>
      <c r="E43" s="460">
        <f t="shared" si="57"/>
        <v>10217</v>
      </c>
      <c r="F43" s="460">
        <v>10217</v>
      </c>
      <c r="G43" s="460"/>
      <c r="H43" s="460">
        <f t="shared" si="58"/>
        <v>26812</v>
      </c>
      <c r="I43" s="460">
        <v>26812</v>
      </c>
      <c r="J43" s="460"/>
      <c r="K43" s="489">
        <f t="shared" si="2"/>
        <v>0</v>
      </c>
      <c r="L43" s="489">
        <f t="shared" si="3"/>
        <v>0</v>
      </c>
      <c r="M43" s="460"/>
      <c r="N43" s="489">
        <f t="shared" si="4"/>
        <v>0</v>
      </c>
      <c r="O43" s="489">
        <f t="shared" si="5"/>
        <v>0</v>
      </c>
      <c r="P43" s="460"/>
      <c r="Q43" s="462">
        <f t="shared" ref="Q43:Q46" si="86">R43+S43</f>
        <v>0</v>
      </c>
      <c r="R43" s="462">
        <f t="shared" ref="R43:R46" si="87">T43+U43+V43+W43+X43+Y43+AA43</f>
        <v>0</v>
      </c>
      <c r="S43" s="462">
        <f t="shared" ref="S43:S46" si="88">AB43</f>
        <v>0</v>
      </c>
      <c r="T43" s="462"/>
      <c r="U43" s="462"/>
      <c r="V43" s="462"/>
      <c r="W43" s="462"/>
      <c r="X43" s="462"/>
      <c r="Y43" s="462"/>
      <c r="Z43" s="462">
        <f t="shared" ref="Z43:Z46" si="89">AB43+AA43</f>
        <v>0</v>
      </c>
      <c r="AA43" s="462"/>
      <c r="AB43" s="462"/>
      <c r="AC43" s="462"/>
      <c r="AD43" s="462">
        <f t="shared" ref="AD43:AD46" si="90">AE43+AF43</f>
        <v>0</v>
      </c>
      <c r="AE43" s="462">
        <f t="shared" ref="AE43:AE46" si="91">AG43+AH43+AI43+AJ43+AK43+AM43+AO43+AP43</f>
        <v>0</v>
      </c>
      <c r="AF43" s="462">
        <f t="shared" ref="AF43:AF46" si="92">AN43</f>
        <v>0</v>
      </c>
      <c r="AG43" s="460"/>
      <c r="AH43" s="460"/>
      <c r="AI43" s="460"/>
      <c r="AJ43" s="460"/>
      <c r="AK43" s="460"/>
      <c r="AL43" s="462">
        <f t="shared" ref="AL43:AL46" si="93">AM43+AN43</f>
        <v>0</v>
      </c>
      <c r="AM43" s="460"/>
      <c r="AN43" s="460"/>
      <c r="AO43" s="460"/>
      <c r="AP43" s="460"/>
    </row>
    <row r="44" spans="1:42" s="424" customFormat="1" ht="31.5">
      <c r="A44" s="432" t="s">
        <v>433</v>
      </c>
      <c r="B44" s="435" t="s">
        <v>530</v>
      </c>
      <c r="C44" s="488">
        <f t="shared" si="83"/>
        <v>20461</v>
      </c>
      <c r="D44" s="488">
        <f t="shared" si="84"/>
        <v>6645</v>
      </c>
      <c r="E44" s="460">
        <f t="shared" si="57"/>
        <v>2983</v>
      </c>
      <c r="F44" s="460">
        <v>2983</v>
      </c>
      <c r="G44" s="460"/>
      <c r="H44" s="460">
        <f t="shared" si="58"/>
        <v>17478</v>
      </c>
      <c r="I44" s="460">
        <f>23238-5252-508</f>
        <v>17478</v>
      </c>
      <c r="J44" s="460"/>
      <c r="K44" s="489">
        <f t="shared" si="2"/>
        <v>0</v>
      </c>
      <c r="L44" s="489">
        <f t="shared" si="3"/>
        <v>0</v>
      </c>
      <c r="M44" s="460"/>
      <c r="N44" s="489">
        <f t="shared" si="4"/>
        <v>3662</v>
      </c>
      <c r="O44" s="489">
        <f t="shared" si="5"/>
        <v>0</v>
      </c>
      <c r="P44" s="460">
        <f>3662-O44</f>
        <v>3662</v>
      </c>
      <c r="Q44" s="462">
        <f t="shared" si="86"/>
        <v>0</v>
      </c>
      <c r="R44" s="462">
        <f t="shared" si="87"/>
        <v>0</v>
      </c>
      <c r="S44" s="462">
        <f t="shared" si="88"/>
        <v>0</v>
      </c>
      <c r="T44" s="462"/>
      <c r="U44" s="462"/>
      <c r="V44" s="462"/>
      <c r="W44" s="462"/>
      <c r="X44" s="462"/>
      <c r="Y44" s="462"/>
      <c r="Z44" s="462">
        <f t="shared" si="89"/>
        <v>0</v>
      </c>
      <c r="AA44" s="462"/>
      <c r="AB44" s="462"/>
      <c r="AC44" s="462"/>
      <c r="AD44" s="462">
        <f t="shared" si="90"/>
        <v>-17478</v>
      </c>
      <c r="AE44" s="462">
        <f t="shared" si="91"/>
        <v>0</v>
      </c>
      <c r="AF44" s="462">
        <f t="shared" si="92"/>
        <v>-17478</v>
      </c>
      <c r="AG44" s="460"/>
      <c r="AH44" s="460"/>
      <c r="AI44" s="460"/>
      <c r="AJ44" s="460"/>
      <c r="AK44" s="460"/>
      <c r="AL44" s="462">
        <f t="shared" si="93"/>
        <v>-17478</v>
      </c>
      <c r="AM44" s="460"/>
      <c r="AN44" s="460">
        <v>-17478</v>
      </c>
      <c r="AO44" s="460"/>
      <c r="AP44" s="460"/>
    </row>
    <row r="45" spans="1:42" ht="21" customHeight="1">
      <c r="A45" s="431" t="s">
        <v>63</v>
      </c>
      <c r="B45" s="480" t="s">
        <v>402</v>
      </c>
      <c r="C45" s="488">
        <f t="shared" si="83"/>
        <v>21360</v>
      </c>
      <c r="D45" s="488">
        <f t="shared" si="84"/>
        <v>21360</v>
      </c>
      <c r="E45" s="462">
        <f t="shared" si="57"/>
        <v>21360</v>
      </c>
      <c r="F45" s="462"/>
      <c r="G45" s="462">
        <f>15600+5252+508</f>
        <v>21360</v>
      </c>
      <c r="H45" s="462">
        <f t="shared" si="58"/>
        <v>0</v>
      </c>
      <c r="I45" s="462"/>
      <c r="J45" s="462"/>
      <c r="K45" s="489">
        <f t="shared" si="2"/>
        <v>0</v>
      </c>
      <c r="L45" s="489">
        <f t="shared" si="3"/>
        <v>0</v>
      </c>
      <c r="M45" s="462"/>
      <c r="N45" s="489">
        <f t="shared" si="4"/>
        <v>0</v>
      </c>
      <c r="O45" s="489">
        <f t="shared" si="5"/>
        <v>0</v>
      </c>
      <c r="P45" s="462"/>
      <c r="Q45" s="462">
        <f t="shared" si="86"/>
        <v>0</v>
      </c>
      <c r="R45" s="462">
        <f t="shared" si="87"/>
        <v>0</v>
      </c>
      <c r="S45" s="462">
        <f t="shared" si="88"/>
        <v>0</v>
      </c>
      <c r="T45" s="462"/>
      <c r="U45" s="462"/>
      <c r="V45" s="462"/>
      <c r="W45" s="462"/>
      <c r="X45" s="462"/>
      <c r="Y45" s="462"/>
      <c r="Z45" s="462">
        <f t="shared" si="89"/>
        <v>0</v>
      </c>
      <c r="AA45" s="462"/>
      <c r="AB45" s="462"/>
      <c r="AC45" s="462"/>
      <c r="AD45" s="462">
        <f t="shared" si="90"/>
        <v>0</v>
      </c>
      <c r="AE45" s="462">
        <f t="shared" si="91"/>
        <v>0</v>
      </c>
      <c r="AF45" s="462">
        <f t="shared" si="92"/>
        <v>0</v>
      </c>
      <c r="AG45" s="462"/>
      <c r="AH45" s="462"/>
      <c r="AI45" s="462"/>
      <c r="AJ45" s="462"/>
      <c r="AK45" s="462"/>
      <c r="AL45" s="462">
        <f t="shared" si="93"/>
        <v>0</v>
      </c>
      <c r="AM45" s="462"/>
      <c r="AN45" s="462"/>
      <c r="AO45" s="462"/>
      <c r="AP45" s="462"/>
    </row>
    <row r="46" spans="1:42" s="424" customFormat="1" ht="23.25" customHeight="1">
      <c r="A46" s="432"/>
      <c r="B46" s="439" t="s">
        <v>443</v>
      </c>
      <c r="C46" s="488">
        <f t="shared" si="83"/>
        <v>2136</v>
      </c>
      <c r="D46" s="488">
        <f t="shared" si="84"/>
        <v>2136</v>
      </c>
      <c r="E46" s="460">
        <f>F46+G46</f>
        <v>2136</v>
      </c>
      <c r="F46" s="460"/>
      <c r="G46" s="460">
        <f>G45*10%</f>
        <v>2136</v>
      </c>
      <c r="H46" s="462">
        <f>I46+J46</f>
        <v>0</v>
      </c>
      <c r="I46" s="460"/>
      <c r="J46" s="460"/>
      <c r="K46" s="489">
        <f t="shared" si="2"/>
        <v>0</v>
      </c>
      <c r="L46" s="489">
        <f t="shared" si="3"/>
        <v>0</v>
      </c>
      <c r="M46" s="460"/>
      <c r="N46" s="489">
        <f t="shared" si="4"/>
        <v>0</v>
      </c>
      <c r="O46" s="489">
        <f t="shared" si="5"/>
        <v>0</v>
      </c>
      <c r="P46" s="460"/>
      <c r="Q46" s="462">
        <f t="shared" si="86"/>
        <v>0</v>
      </c>
      <c r="R46" s="462">
        <f t="shared" si="87"/>
        <v>0</v>
      </c>
      <c r="S46" s="462">
        <f t="shared" si="88"/>
        <v>0</v>
      </c>
      <c r="T46" s="462"/>
      <c r="U46" s="462"/>
      <c r="V46" s="462"/>
      <c r="W46" s="462"/>
      <c r="X46" s="462"/>
      <c r="Y46" s="462"/>
      <c r="Z46" s="462">
        <f t="shared" si="89"/>
        <v>0</v>
      </c>
      <c r="AA46" s="462"/>
      <c r="AB46" s="462"/>
      <c r="AC46" s="462"/>
      <c r="AD46" s="462">
        <f t="shared" si="90"/>
        <v>0</v>
      </c>
      <c r="AE46" s="462">
        <f t="shared" si="91"/>
        <v>0</v>
      </c>
      <c r="AF46" s="462">
        <f t="shared" si="92"/>
        <v>0</v>
      </c>
      <c r="AG46" s="460"/>
      <c r="AH46" s="460"/>
      <c r="AI46" s="460"/>
      <c r="AJ46" s="460"/>
      <c r="AK46" s="460"/>
      <c r="AL46" s="462">
        <f t="shared" si="93"/>
        <v>0</v>
      </c>
      <c r="AM46" s="460"/>
      <c r="AN46" s="460"/>
      <c r="AO46" s="460"/>
      <c r="AP46" s="460"/>
    </row>
    <row r="47" spans="1:42" s="434" customFormat="1" ht="31.5">
      <c r="A47" s="561">
        <v>3</v>
      </c>
      <c r="B47" s="433" t="s">
        <v>389</v>
      </c>
      <c r="C47" s="489">
        <f>C48+C51+C54+C61</f>
        <v>3939758</v>
      </c>
      <c r="D47" s="489">
        <f>D48+D51+D54+D61</f>
        <v>4029452</v>
      </c>
      <c r="E47" s="495">
        <f>F47+G47</f>
        <v>1126926</v>
      </c>
      <c r="F47" s="495">
        <f>F48+F51+F54+F61</f>
        <v>633618</v>
      </c>
      <c r="G47" s="495">
        <f>G48+G51+G54+G61</f>
        <v>493308</v>
      </c>
      <c r="H47" s="495">
        <f>I47+J47</f>
        <v>2812832</v>
      </c>
      <c r="I47" s="495">
        <f>I48+I51+I54+I61</f>
        <v>2812832</v>
      </c>
      <c r="J47" s="495">
        <f>J48+J51+J54+J61</f>
        <v>0</v>
      </c>
      <c r="K47" s="489">
        <f t="shared" si="2"/>
        <v>0</v>
      </c>
      <c r="L47" s="489">
        <f t="shared" si="3"/>
        <v>0</v>
      </c>
      <c r="M47" s="495">
        <f>M48+M51+M54+M61</f>
        <v>0</v>
      </c>
      <c r="N47" s="489">
        <f t="shared" si="4"/>
        <v>186350</v>
      </c>
      <c r="O47" s="489">
        <f t="shared" si="5"/>
        <v>0</v>
      </c>
      <c r="P47" s="495">
        <f>P48+P51+P54+P61</f>
        <v>186350</v>
      </c>
      <c r="Q47" s="495">
        <f t="shared" ref="Q47:AP47" si="94">Q48+Q51+Q54+Q61</f>
        <v>0</v>
      </c>
      <c r="R47" s="495">
        <f t="shared" si="94"/>
        <v>0</v>
      </c>
      <c r="S47" s="495">
        <f t="shared" si="94"/>
        <v>0</v>
      </c>
      <c r="T47" s="495">
        <f t="shared" si="94"/>
        <v>0</v>
      </c>
      <c r="U47" s="495">
        <f t="shared" si="94"/>
        <v>0</v>
      </c>
      <c r="V47" s="495">
        <f t="shared" si="94"/>
        <v>0</v>
      </c>
      <c r="W47" s="495">
        <f t="shared" si="94"/>
        <v>0</v>
      </c>
      <c r="X47" s="495">
        <f t="shared" si="94"/>
        <v>0</v>
      </c>
      <c r="Y47" s="495">
        <f t="shared" si="94"/>
        <v>0</v>
      </c>
      <c r="Z47" s="495">
        <f t="shared" si="94"/>
        <v>0</v>
      </c>
      <c r="AA47" s="495">
        <f t="shared" si="94"/>
        <v>0</v>
      </c>
      <c r="AB47" s="495">
        <f t="shared" si="94"/>
        <v>0</v>
      </c>
      <c r="AC47" s="495">
        <f t="shared" si="94"/>
        <v>0</v>
      </c>
      <c r="AD47" s="495">
        <f t="shared" si="94"/>
        <v>-96656</v>
      </c>
      <c r="AE47" s="495">
        <f t="shared" si="94"/>
        <v>109515</v>
      </c>
      <c r="AF47" s="495">
        <f t="shared" si="94"/>
        <v>-206171</v>
      </c>
      <c r="AG47" s="495">
        <f t="shared" si="94"/>
        <v>0</v>
      </c>
      <c r="AH47" s="495">
        <f t="shared" si="94"/>
        <v>0</v>
      </c>
      <c r="AI47" s="495">
        <f t="shared" si="94"/>
        <v>0</v>
      </c>
      <c r="AJ47" s="495">
        <f t="shared" si="94"/>
        <v>0</v>
      </c>
      <c r="AK47" s="495">
        <f t="shared" si="94"/>
        <v>109515</v>
      </c>
      <c r="AL47" s="495">
        <f t="shared" si="94"/>
        <v>-206171</v>
      </c>
      <c r="AM47" s="495">
        <f t="shared" si="94"/>
        <v>0</v>
      </c>
      <c r="AN47" s="495">
        <f t="shared" si="94"/>
        <v>-206171</v>
      </c>
      <c r="AO47" s="495">
        <f t="shared" si="94"/>
        <v>0</v>
      </c>
      <c r="AP47" s="495">
        <f t="shared" si="94"/>
        <v>0</v>
      </c>
    </row>
    <row r="48" spans="1:42">
      <c r="A48" s="431" t="s">
        <v>67</v>
      </c>
      <c r="B48" s="436" t="s">
        <v>435</v>
      </c>
      <c r="C48" s="488">
        <f t="shared" ref="C48:C66" si="95">E48+H48</f>
        <v>3134345</v>
      </c>
      <c r="D48" s="488">
        <f t="shared" ref="D48:D66" si="96">E48+H48+M48+P48+Q48+AD48</f>
        <v>3136130</v>
      </c>
      <c r="E48" s="462">
        <f t="shared" si="57"/>
        <v>454668</v>
      </c>
      <c r="F48" s="462">
        <f>F49+F50</f>
        <v>454668</v>
      </c>
      <c r="G48" s="462">
        <f>G49+G50</f>
        <v>0</v>
      </c>
      <c r="H48" s="462">
        <f>I48+J48</f>
        <v>2679677</v>
      </c>
      <c r="I48" s="462">
        <f>I49+I50</f>
        <v>2679677</v>
      </c>
      <c r="J48" s="462">
        <f>J49+J50</f>
        <v>0</v>
      </c>
      <c r="K48" s="489">
        <f t="shared" si="2"/>
        <v>0</v>
      </c>
      <c r="L48" s="489">
        <f t="shared" si="3"/>
        <v>0</v>
      </c>
      <c r="M48" s="462">
        <f>M49+M50</f>
        <v>0</v>
      </c>
      <c r="N48" s="489">
        <f t="shared" si="4"/>
        <v>0</v>
      </c>
      <c r="O48" s="489">
        <f t="shared" si="5"/>
        <v>0</v>
      </c>
      <c r="P48" s="462">
        <f>P49+P50</f>
        <v>0</v>
      </c>
      <c r="Q48" s="462">
        <f t="shared" ref="Q48:AP48" si="97">Q49+Q50</f>
        <v>0</v>
      </c>
      <c r="R48" s="462">
        <f t="shared" si="97"/>
        <v>0</v>
      </c>
      <c r="S48" s="462">
        <f t="shared" si="97"/>
        <v>0</v>
      </c>
      <c r="T48" s="462">
        <f t="shared" si="97"/>
        <v>0</v>
      </c>
      <c r="U48" s="462">
        <f t="shared" si="97"/>
        <v>0</v>
      </c>
      <c r="V48" s="462">
        <f t="shared" si="97"/>
        <v>0</v>
      </c>
      <c r="W48" s="462">
        <f t="shared" si="97"/>
        <v>0</v>
      </c>
      <c r="X48" s="462">
        <f t="shared" si="97"/>
        <v>0</v>
      </c>
      <c r="Y48" s="462">
        <f t="shared" si="97"/>
        <v>0</v>
      </c>
      <c r="Z48" s="462">
        <f t="shared" si="97"/>
        <v>0</v>
      </c>
      <c r="AA48" s="462">
        <f t="shared" si="97"/>
        <v>0</v>
      </c>
      <c r="AB48" s="462">
        <f t="shared" si="97"/>
        <v>0</v>
      </c>
      <c r="AC48" s="462">
        <f t="shared" si="97"/>
        <v>0</v>
      </c>
      <c r="AD48" s="462">
        <f t="shared" si="97"/>
        <v>1785</v>
      </c>
      <c r="AE48" s="462">
        <f t="shared" si="97"/>
        <v>109515</v>
      </c>
      <c r="AF48" s="462">
        <f t="shared" si="97"/>
        <v>-107730</v>
      </c>
      <c r="AG48" s="462">
        <f t="shared" si="97"/>
        <v>0</v>
      </c>
      <c r="AH48" s="462">
        <f t="shared" si="97"/>
        <v>0</v>
      </c>
      <c r="AI48" s="462">
        <f t="shared" si="97"/>
        <v>0</v>
      </c>
      <c r="AJ48" s="462">
        <f t="shared" si="97"/>
        <v>0</v>
      </c>
      <c r="AK48" s="462">
        <f t="shared" si="97"/>
        <v>109515</v>
      </c>
      <c r="AL48" s="462">
        <f t="shared" si="97"/>
        <v>-107730</v>
      </c>
      <c r="AM48" s="462">
        <f t="shared" si="97"/>
        <v>0</v>
      </c>
      <c r="AN48" s="462">
        <f t="shared" si="97"/>
        <v>-107730</v>
      </c>
      <c r="AO48" s="462">
        <f t="shared" si="97"/>
        <v>0</v>
      </c>
      <c r="AP48" s="462">
        <f t="shared" si="97"/>
        <v>0</v>
      </c>
    </row>
    <row r="49" spans="1:42" s="424" customFormat="1">
      <c r="A49" s="432" t="s">
        <v>433</v>
      </c>
      <c r="B49" s="435" t="s">
        <v>37</v>
      </c>
      <c r="C49" s="488">
        <f t="shared" si="95"/>
        <v>2930334</v>
      </c>
      <c r="D49" s="488">
        <f t="shared" si="96"/>
        <v>3039849</v>
      </c>
      <c r="E49" s="460">
        <f t="shared" si="57"/>
        <v>358387</v>
      </c>
      <c r="F49" s="460">
        <v>358387</v>
      </c>
      <c r="G49" s="460"/>
      <c r="H49" s="460">
        <f t="shared" si="58"/>
        <v>2571947</v>
      </c>
      <c r="I49" s="460">
        <v>2571947</v>
      </c>
      <c r="J49" s="460"/>
      <c r="K49" s="489">
        <f t="shared" si="2"/>
        <v>0</v>
      </c>
      <c r="L49" s="489">
        <f t="shared" si="3"/>
        <v>0</v>
      </c>
      <c r="M49" s="460"/>
      <c r="N49" s="489">
        <f t="shared" si="4"/>
        <v>0</v>
      </c>
      <c r="O49" s="489">
        <f t="shared" si="5"/>
        <v>0</v>
      </c>
      <c r="P49" s="460"/>
      <c r="Q49" s="462">
        <f t="shared" ref="Q49:Q50" si="98">R49+S49</f>
        <v>0</v>
      </c>
      <c r="R49" s="462">
        <f t="shared" ref="R49:R50" si="99">T49+U49+V49+W49+X49+Y49+AA49</f>
        <v>0</v>
      </c>
      <c r="S49" s="462">
        <f t="shared" ref="S49:S50" si="100">AB49</f>
        <v>0</v>
      </c>
      <c r="T49" s="462"/>
      <c r="U49" s="462"/>
      <c r="V49" s="462"/>
      <c r="W49" s="462"/>
      <c r="X49" s="462"/>
      <c r="Y49" s="462"/>
      <c r="Z49" s="462">
        <f t="shared" ref="Z49:Z50" si="101">AB49+AA49</f>
        <v>0</v>
      </c>
      <c r="AA49" s="462"/>
      <c r="AB49" s="462"/>
      <c r="AC49" s="462"/>
      <c r="AD49" s="462">
        <f t="shared" ref="AD49:AD50" si="102">AE49+AF49</f>
        <v>109515</v>
      </c>
      <c r="AE49" s="462">
        <f t="shared" ref="AE49:AE50" si="103">AG49+AH49+AI49+AJ49+AK49+AM49+AO49+AP49</f>
        <v>109515</v>
      </c>
      <c r="AF49" s="462">
        <f t="shared" ref="AF49:AF50" si="104">AN49</f>
        <v>0</v>
      </c>
      <c r="AG49" s="460"/>
      <c r="AH49" s="460"/>
      <c r="AI49" s="460"/>
      <c r="AJ49" s="460"/>
      <c r="AK49" s="460">
        <v>109515</v>
      </c>
      <c r="AL49" s="462">
        <f t="shared" ref="AL49:AL50" si="105">AM49+AN49</f>
        <v>0</v>
      </c>
      <c r="AM49" s="460"/>
      <c r="AN49" s="460"/>
      <c r="AO49" s="460"/>
      <c r="AP49" s="460"/>
    </row>
    <row r="50" spans="1:42" s="424" customFormat="1">
      <c r="A50" s="432" t="s">
        <v>433</v>
      </c>
      <c r="B50" s="435" t="s">
        <v>442</v>
      </c>
      <c r="C50" s="488">
        <f t="shared" si="95"/>
        <v>204011</v>
      </c>
      <c r="D50" s="488">
        <f t="shared" si="96"/>
        <v>96281</v>
      </c>
      <c r="E50" s="460">
        <f t="shared" si="57"/>
        <v>96281</v>
      </c>
      <c r="F50" s="460">
        <f>36734+42979+3440+34770-21087-555</f>
        <v>96281</v>
      </c>
      <c r="G50" s="460"/>
      <c r="H50" s="460">
        <f t="shared" si="58"/>
        <v>107730</v>
      </c>
      <c r="I50" s="460">
        <f>206171-I54</f>
        <v>107730</v>
      </c>
      <c r="J50" s="460"/>
      <c r="K50" s="489">
        <f t="shared" si="2"/>
        <v>0</v>
      </c>
      <c r="L50" s="489">
        <f t="shared" si="3"/>
        <v>0</v>
      </c>
      <c r="M50" s="460"/>
      <c r="N50" s="489">
        <f t="shared" si="4"/>
        <v>0</v>
      </c>
      <c r="O50" s="489">
        <f t="shared" si="5"/>
        <v>0</v>
      </c>
      <c r="P50" s="460"/>
      <c r="Q50" s="462">
        <f t="shared" si="98"/>
        <v>0</v>
      </c>
      <c r="R50" s="462">
        <f t="shared" si="99"/>
        <v>0</v>
      </c>
      <c r="S50" s="462">
        <f t="shared" si="100"/>
        <v>0</v>
      </c>
      <c r="T50" s="462"/>
      <c r="U50" s="462"/>
      <c r="V50" s="462"/>
      <c r="W50" s="462"/>
      <c r="X50" s="462"/>
      <c r="Y50" s="462"/>
      <c r="Z50" s="462">
        <f t="shared" si="101"/>
        <v>0</v>
      </c>
      <c r="AA50" s="462"/>
      <c r="AB50" s="462"/>
      <c r="AC50" s="462"/>
      <c r="AD50" s="462">
        <f t="shared" si="102"/>
        <v>-107730</v>
      </c>
      <c r="AE50" s="462">
        <f t="shared" si="103"/>
        <v>0</v>
      </c>
      <c r="AF50" s="462">
        <f t="shared" si="104"/>
        <v>-107730</v>
      </c>
      <c r="AG50" s="460"/>
      <c r="AH50" s="460"/>
      <c r="AI50" s="460"/>
      <c r="AJ50" s="460"/>
      <c r="AK50" s="460"/>
      <c r="AL50" s="462">
        <f t="shared" si="105"/>
        <v>-107730</v>
      </c>
      <c r="AM50" s="460"/>
      <c r="AN50" s="460">
        <v>-107730</v>
      </c>
      <c r="AO50" s="460"/>
      <c r="AP50" s="460"/>
    </row>
    <row r="51" spans="1:42" ht="31.5">
      <c r="A51" s="431" t="s">
        <v>77</v>
      </c>
      <c r="B51" s="436" t="s">
        <v>434</v>
      </c>
      <c r="C51" s="488">
        <f t="shared" si="95"/>
        <v>188974</v>
      </c>
      <c r="D51" s="488">
        <f t="shared" si="96"/>
        <v>189204</v>
      </c>
      <c r="E51" s="462">
        <f t="shared" si="57"/>
        <v>154260</v>
      </c>
      <c r="F51" s="462">
        <f>F52+F53</f>
        <v>154260</v>
      </c>
      <c r="G51" s="462">
        <f>G52+G53</f>
        <v>0</v>
      </c>
      <c r="H51" s="462">
        <f t="shared" si="58"/>
        <v>34714</v>
      </c>
      <c r="I51" s="462">
        <f>I52+I53</f>
        <v>34714</v>
      </c>
      <c r="J51" s="462">
        <f>J52+J53</f>
        <v>0</v>
      </c>
      <c r="K51" s="489">
        <f t="shared" si="2"/>
        <v>0</v>
      </c>
      <c r="L51" s="489">
        <f t="shared" si="3"/>
        <v>0</v>
      </c>
      <c r="M51" s="462">
        <f>M52+M53</f>
        <v>0</v>
      </c>
      <c r="N51" s="489">
        <f t="shared" si="4"/>
        <v>230</v>
      </c>
      <c r="O51" s="489">
        <f t="shared" si="5"/>
        <v>0</v>
      </c>
      <c r="P51" s="462">
        <f>P52+P53</f>
        <v>230</v>
      </c>
      <c r="Q51" s="462">
        <f t="shared" ref="Q51:AP51" si="106">Q52+Q53</f>
        <v>0</v>
      </c>
      <c r="R51" s="462">
        <f t="shared" si="106"/>
        <v>0</v>
      </c>
      <c r="S51" s="462">
        <f t="shared" si="106"/>
        <v>0</v>
      </c>
      <c r="T51" s="462">
        <f t="shared" si="106"/>
        <v>0</v>
      </c>
      <c r="U51" s="462">
        <f t="shared" si="106"/>
        <v>0</v>
      </c>
      <c r="V51" s="462">
        <f t="shared" si="106"/>
        <v>0</v>
      </c>
      <c r="W51" s="462">
        <f t="shared" si="106"/>
        <v>0</v>
      </c>
      <c r="X51" s="462">
        <f t="shared" si="106"/>
        <v>0</v>
      </c>
      <c r="Y51" s="462">
        <f t="shared" si="106"/>
        <v>0</v>
      </c>
      <c r="Z51" s="462">
        <f t="shared" si="106"/>
        <v>0</v>
      </c>
      <c r="AA51" s="462">
        <f t="shared" si="106"/>
        <v>0</v>
      </c>
      <c r="AB51" s="462">
        <f t="shared" si="106"/>
        <v>0</v>
      </c>
      <c r="AC51" s="462">
        <f t="shared" si="106"/>
        <v>0</v>
      </c>
      <c r="AD51" s="462">
        <f t="shared" si="106"/>
        <v>0</v>
      </c>
      <c r="AE51" s="462">
        <f t="shared" si="106"/>
        <v>0</v>
      </c>
      <c r="AF51" s="462">
        <f t="shared" si="106"/>
        <v>0</v>
      </c>
      <c r="AG51" s="462">
        <f t="shared" si="106"/>
        <v>0</v>
      </c>
      <c r="AH51" s="462">
        <f t="shared" si="106"/>
        <v>0</v>
      </c>
      <c r="AI51" s="462">
        <f t="shared" si="106"/>
        <v>0</v>
      </c>
      <c r="AJ51" s="462">
        <f t="shared" si="106"/>
        <v>0</v>
      </c>
      <c r="AK51" s="462">
        <f t="shared" si="106"/>
        <v>0</v>
      </c>
      <c r="AL51" s="462">
        <f t="shared" si="106"/>
        <v>0</v>
      </c>
      <c r="AM51" s="462">
        <f t="shared" si="106"/>
        <v>0</v>
      </c>
      <c r="AN51" s="462">
        <f t="shared" si="106"/>
        <v>0</v>
      </c>
      <c r="AO51" s="462">
        <f t="shared" si="106"/>
        <v>0</v>
      </c>
      <c r="AP51" s="462">
        <f t="shared" si="106"/>
        <v>0</v>
      </c>
    </row>
    <row r="52" spans="1:42" s="424" customFormat="1">
      <c r="A52" s="432"/>
      <c r="B52" s="435" t="s">
        <v>37</v>
      </c>
      <c r="C52" s="488">
        <f t="shared" si="95"/>
        <v>125241</v>
      </c>
      <c r="D52" s="488">
        <f t="shared" si="96"/>
        <v>125241</v>
      </c>
      <c r="E52" s="460">
        <f t="shared" si="57"/>
        <v>90527</v>
      </c>
      <c r="F52" s="460">
        <v>90527</v>
      </c>
      <c r="G52" s="460"/>
      <c r="H52" s="460">
        <f t="shared" si="58"/>
        <v>34714</v>
      </c>
      <c r="I52" s="460">
        <v>34714</v>
      </c>
      <c r="J52" s="460"/>
      <c r="K52" s="489">
        <f t="shared" si="2"/>
        <v>0</v>
      </c>
      <c r="L52" s="489">
        <f t="shared" si="3"/>
        <v>0</v>
      </c>
      <c r="M52" s="460"/>
      <c r="N52" s="489">
        <f t="shared" si="4"/>
        <v>0</v>
      </c>
      <c r="O52" s="489">
        <f t="shared" si="5"/>
        <v>0</v>
      </c>
      <c r="P52" s="460"/>
      <c r="Q52" s="462">
        <f t="shared" ref="Q52:Q53" si="107">R52+S52</f>
        <v>0</v>
      </c>
      <c r="R52" s="462">
        <f t="shared" ref="R52:R53" si="108">T52+U52+V52+W52+X52+Y52+AA52</f>
        <v>0</v>
      </c>
      <c r="S52" s="462">
        <f t="shared" ref="S52:S53" si="109">AB52</f>
        <v>0</v>
      </c>
      <c r="T52" s="462"/>
      <c r="U52" s="462"/>
      <c r="V52" s="462"/>
      <c r="W52" s="462"/>
      <c r="X52" s="462"/>
      <c r="Y52" s="462"/>
      <c r="Z52" s="462">
        <f t="shared" ref="Z52:Z53" si="110">AB52+AA52</f>
        <v>0</v>
      </c>
      <c r="AA52" s="462"/>
      <c r="AB52" s="462"/>
      <c r="AC52" s="462"/>
      <c r="AD52" s="462">
        <f t="shared" ref="AD52:AD53" si="111">AE52+AF52</f>
        <v>0</v>
      </c>
      <c r="AE52" s="462">
        <f t="shared" ref="AE52:AE53" si="112">AG52+AH52+AI52+AJ52+AK52+AM52+AO52+AP52</f>
        <v>0</v>
      </c>
      <c r="AF52" s="462">
        <f t="shared" ref="AF52:AF53" si="113">AN52</f>
        <v>0</v>
      </c>
      <c r="AG52" s="460"/>
      <c r="AH52" s="460"/>
      <c r="AI52" s="460"/>
      <c r="AJ52" s="460"/>
      <c r="AK52" s="460"/>
      <c r="AL52" s="462">
        <f t="shared" ref="AL52:AL53" si="114">AM52+AN52</f>
        <v>0</v>
      </c>
      <c r="AM52" s="460"/>
      <c r="AN52" s="460"/>
      <c r="AO52" s="460"/>
      <c r="AP52" s="460"/>
    </row>
    <row r="53" spans="1:42" s="424" customFormat="1">
      <c r="A53" s="432"/>
      <c r="B53" s="435" t="s">
        <v>437</v>
      </c>
      <c r="C53" s="488">
        <f t="shared" si="95"/>
        <v>63733</v>
      </c>
      <c r="D53" s="488">
        <f t="shared" si="96"/>
        <v>63963</v>
      </c>
      <c r="E53" s="460">
        <f t="shared" si="57"/>
        <v>63733</v>
      </c>
      <c r="F53" s="460">
        <f>26127+13100+199+16900-3048+10455</f>
        <v>63733</v>
      </c>
      <c r="G53" s="460"/>
      <c r="H53" s="460">
        <f t="shared" si="58"/>
        <v>0</v>
      </c>
      <c r="I53" s="460"/>
      <c r="J53" s="460"/>
      <c r="K53" s="489">
        <f t="shared" si="2"/>
        <v>0</v>
      </c>
      <c r="L53" s="489">
        <f t="shared" si="3"/>
        <v>0</v>
      </c>
      <c r="M53" s="460"/>
      <c r="N53" s="489">
        <f t="shared" si="4"/>
        <v>230</v>
      </c>
      <c r="O53" s="489">
        <f t="shared" si="5"/>
        <v>0</v>
      </c>
      <c r="P53" s="460">
        <f>230-O53</f>
        <v>230</v>
      </c>
      <c r="Q53" s="462">
        <f t="shared" si="107"/>
        <v>0</v>
      </c>
      <c r="R53" s="462">
        <f t="shared" si="108"/>
        <v>0</v>
      </c>
      <c r="S53" s="462">
        <f t="shared" si="109"/>
        <v>0</v>
      </c>
      <c r="T53" s="462"/>
      <c r="U53" s="462"/>
      <c r="V53" s="462"/>
      <c r="W53" s="462"/>
      <c r="X53" s="462"/>
      <c r="Y53" s="462"/>
      <c r="Z53" s="462">
        <f t="shared" si="110"/>
        <v>0</v>
      </c>
      <c r="AA53" s="462"/>
      <c r="AB53" s="462"/>
      <c r="AC53" s="462"/>
      <c r="AD53" s="462">
        <f t="shared" si="111"/>
        <v>0</v>
      </c>
      <c r="AE53" s="462">
        <f t="shared" si="112"/>
        <v>0</v>
      </c>
      <c r="AF53" s="462">
        <f t="shared" si="113"/>
        <v>0</v>
      </c>
      <c r="AG53" s="460"/>
      <c r="AH53" s="460"/>
      <c r="AI53" s="460"/>
      <c r="AJ53" s="460"/>
      <c r="AK53" s="460"/>
      <c r="AL53" s="462">
        <f t="shared" si="114"/>
        <v>0</v>
      </c>
      <c r="AM53" s="460"/>
      <c r="AN53" s="460"/>
      <c r="AO53" s="460"/>
      <c r="AP53" s="460"/>
    </row>
    <row r="54" spans="1:42">
      <c r="A54" s="431" t="s">
        <v>83</v>
      </c>
      <c r="B54" s="436" t="s">
        <v>445</v>
      </c>
      <c r="C54" s="488">
        <f t="shared" si="95"/>
        <v>191467</v>
      </c>
      <c r="D54" s="488">
        <f t="shared" si="96"/>
        <v>251293</v>
      </c>
      <c r="E54" s="462">
        <f>F54+G54</f>
        <v>93026</v>
      </c>
      <c r="F54" s="462">
        <f>SUM(F55:F60)</f>
        <v>24690</v>
      </c>
      <c r="G54" s="462">
        <f>SUM(G55:G60)</f>
        <v>68336</v>
      </c>
      <c r="H54" s="462">
        <f t="shared" si="58"/>
        <v>98441</v>
      </c>
      <c r="I54" s="462">
        <f>SUM(I55:I60)</f>
        <v>98441</v>
      </c>
      <c r="J54" s="462">
        <f>SUM(J55:J60)</f>
        <v>0</v>
      </c>
      <c r="K54" s="489">
        <f t="shared" si="2"/>
        <v>0</v>
      </c>
      <c r="L54" s="489">
        <f t="shared" si="3"/>
        <v>0</v>
      </c>
      <c r="M54" s="462">
        <f>SUM(M55:M60)</f>
        <v>0</v>
      </c>
      <c r="N54" s="489">
        <f t="shared" si="4"/>
        <v>158267</v>
      </c>
      <c r="O54" s="489">
        <f t="shared" si="5"/>
        <v>0</v>
      </c>
      <c r="P54" s="462">
        <f>SUM(P55:P60)</f>
        <v>158267</v>
      </c>
      <c r="Q54" s="462">
        <f t="shared" ref="Q54:AP54" si="115">SUM(Q55:Q60)</f>
        <v>0</v>
      </c>
      <c r="R54" s="462">
        <f t="shared" si="115"/>
        <v>0</v>
      </c>
      <c r="S54" s="462">
        <f t="shared" si="115"/>
        <v>0</v>
      </c>
      <c r="T54" s="462">
        <f t="shared" si="115"/>
        <v>0</v>
      </c>
      <c r="U54" s="462">
        <f t="shared" si="115"/>
        <v>0</v>
      </c>
      <c r="V54" s="462">
        <f t="shared" si="115"/>
        <v>0</v>
      </c>
      <c r="W54" s="462">
        <f t="shared" si="115"/>
        <v>0</v>
      </c>
      <c r="X54" s="462">
        <f t="shared" si="115"/>
        <v>0</v>
      </c>
      <c r="Y54" s="462">
        <f t="shared" si="115"/>
        <v>0</v>
      </c>
      <c r="Z54" s="462">
        <f t="shared" si="115"/>
        <v>0</v>
      </c>
      <c r="AA54" s="462">
        <f t="shared" si="115"/>
        <v>0</v>
      </c>
      <c r="AB54" s="462">
        <f t="shared" si="115"/>
        <v>0</v>
      </c>
      <c r="AC54" s="462">
        <f t="shared" si="115"/>
        <v>0</v>
      </c>
      <c r="AD54" s="462">
        <f t="shared" si="115"/>
        <v>-98441</v>
      </c>
      <c r="AE54" s="462">
        <f t="shared" si="115"/>
        <v>0</v>
      </c>
      <c r="AF54" s="462">
        <f t="shared" si="115"/>
        <v>-98441</v>
      </c>
      <c r="AG54" s="462">
        <f t="shared" si="115"/>
        <v>0</v>
      </c>
      <c r="AH54" s="462">
        <f t="shared" si="115"/>
        <v>0</v>
      </c>
      <c r="AI54" s="462">
        <f t="shared" si="115"/>
        <v>0</v>
      </c>
      <c r="AJ54" s="462">
        <f t="shared" si="115"/>
        <v>0</v>
      </c>
      <c r="AK54" s="462">
        <f t="shared" si="115"/>
        <v>0</v>
      </c>
      <c r="AL54" s="462">
        <f t="shared" si="115"/>
        <v>-98441</v>
      </c>
      <c r="AM54" s="462">
        <f t="shared" si="115"/>
        <v>0</v>
      </c>
      <c r="AN54" s="462">
        <f t="shared" si="115"/>
        <v>-98441</v>
      </c>
      <c r="AO54" s="462">
        <f t="shared" si="115"/>
        <v>0</v>
      </c>
      <c r="AP54" s="462">
        <f t="shared" si="115"/>
        <v>0</v>
      </c>
    </row>
    <row r="55" spans="1:42" s="424" customFormat="1" ht="31.5">
      <c r="A55" s="432" t="s">
        <v>433</v>
      </c>
      <c r="B55" s="153" t="s">
        <v>366</v>
      </c>
      <c r="C55" s="488">
        <f t="shared" si="95"/>
        <v>51865</v>
      </c>
      <c r="D55" s="488">
        <f t="shared" si="96"/>
        <v>44207</v>
      </c>
      <c r="E55" s="460">
        <f>F55+G55</f>
        <v>31120</v>
      </c>
      <c r="F55" s="460">
        <v>21087</v>
      </c>
      <c r="G55" s="460">
        <v>10033</v>
      </c>
      <c r="H55" s="460">
        <f t="shared" si="58"/>
        <v>20745</v>
      </c>
      <c r="I55" s="460">
        <v>20745</v>
      </c>
      <c r="J55" s="460"/>
      <c r="K55" s="489">
        <f t="shared" si="2"/>
        <v>0</v>
      </c>
      <c r="L55" s="489">
        <f t="shared" si="3"/>
        <v>0</v>
      </c>
      <c r="M55" s="460"/>
      <c r="N55" s="489">
        <f t="shared" si="4"/>
        <v>13087</v>
      </c>
      <c r="O55" s="489">
        <f t="shared" si="5"/>
        <v>0</v>
      </c>
      <c r="P55" s="460">
        <f>381-O55+12706</f>
        <v>13087</v>
      </c>
      <c r="Q55" s="462">
        <f t="shared" ref="Q55:Q60" si="116">R55+S55</f>
        <v>0</v>
      </c>
      <c r="R55" s="462">
        <f t="shared" ref="R55:R60" si="117">T55+U55+V55+W55+X55+Y55+AA55</f>
        <v>0</v>
      </c>
      <c r="S55" s="462">
        <f t="shared" ref="S55:S60" si="118">AB55</f>
        <v>0</v>
      </c>
      <c r="T55" s="462"/>
      <c r="U55" s="462"/>
      <c r="V55" s="462"/>
      <c r="W55" s="462"/>
      <c r="X55" s="462"/>
      <c r="Y55" s="462"/>
      <c r="Z55" s="462">
        <f t="shared" ref="Z55:Z60" si="119">AB55+AA55</f>
        <v>0</v>
      </c>
      <c r="AA55" s="462"/>
      <c r="AB55" s="462"/>
      <c r="AC55" s="462"/>
      <c r="AD55" s="462">
        <f t="shared" ref="AD55:AD60" si="120">AE55+AF55</f>
        <v>-20745</v>
      </c>
      <c r="AE55" s="462">
        <f t="shared" ref="AE55:AE60" si="121">AG55+AH55+AI55+AJ55+AK55+AM55+AO55+AP55</f>
        <v>0</v>
      </c>
      <c r="AF55" s="462">
        <f t="shared" ref="AF55:AF60" si="122">AN55</f>
        <v>-20745</v>
      </c>
      <c r="AG55" s="460"/>
      <c r="AH55" s="460"/>
      <c r="AI55" s="460"/>
      <c r="AJ55" s="460"/>
      <c r="AK55" s="460"/>
      <c r="AL55" s="462">
        <f t="shared" ref="AL55:AL60" si="123">AM55+AN55</f>
        <v>-20745</v>
      </c>
      <c r="AM55" s="460"/>
      <c r="AN55" s="460">
        <v>-20745</v>
      </c>
      <c r="AO55" s="460"/>
      <c r="AP55" s="460"/>
    </row>
    <row r="56" spans="1:42" s="424" customFormat="1" ht="31.5">
      <c r="A56" s="432" t="s">
        <v>433</v>
      </c>
      <c r="B56" s="502" t="s">
        <v>367</v>
      </c>
      <c r="C56" s="488">
        <f t="shared" si="95"/>
        <v>93557</v>
      </c>
      <c r="D56" s="488">
        <f t="shared" si="96"/>
        <v>97198</v>
      </c>
      <c r="E56" s="460">
        <f t="shared" si="57"/>
        <v>42487</v>
      </c>
      <c r="F56" s="460"/>
      <c r="G56" s="460">
        <f>8299+34188</f>
        <v>42487</v>
      </c>
      <c r="H56" s="460">
        <f t="shared" si="58"/>
        <v>51070</v>
      </c>
      <c r="I56" s="460">
        <v>51070</v>
      </c>
      <c r="J56" s="460"/>
      <c r="K56" s="489">
        <f t="shared" si="2"/>
        <v>0</v>
      </c>
      <c r="L56" s="489">
        <f t="shared" si="3"/>
        <v>0</v>
      </c>
      <c r="M56" s="460"/>
      <c r="N56" s="489">
        <f t="shared" si="4"/>
        <v>54711</v>
      </c>
      <c r="O56" s="489">
        <f t="shared" si="5"/>
        <v>0</v>
      </c>
      <c r="P56" s="460">
        <f>1487-O56+53224</f>
        <v>54711</v>
      </c>
      <c r="Q56" s="462">
        <f t="shared" si="116"/>
        <v>0</v>
      </c>
      <c r="R56" s="462">
        <f t="shared" si="117"/>
        <v>0</v>
      </c>
      <c r="S56" s="462">
        <f t="shared" si="118"/>
        <v>0</v>
      </c>
      <c r="T56" s="462"/>
      <c r="U56" s="462"/>
      <c r="V56" s="462"/>
      <c r="W56" s="462"/>
      <c r="X56" s="462"/>
      <c r="Y56" s="462"/>
      <c r="Z56" s="462">
        <f t="shared" si="119"/>
        <v>0</v>
      </c>
      <c r="AA56" s="462"/>
      <c r="AB56" s="462"/>
      <c r="AC56" s="462"/>
      <c r="AD56" s="462">
        <f t="shared" si="120"/>
        <v>-51070</v>
      </c>
      <c r="AE56" s="462">
        <f t="shared" si="121"/>
        <v>0</v>
      </c>
      <c r="AF56" s="462">
        <f t="shared" si="122"/>
        <v>-51070</v>
      </c>
      <c r="AG56" s="460"/>
      <c r="AH56" s="460"/>
      <c r="AI56" s="460"/>
      <c r="AJ56" s="460"/>
      <c r="AK56" s="460"/>
      <c r="AL56" s="462">
        <f t="shared" si="123"/>
        <v>-51070</v>
      </c>
      <c r="AM56" s="460"/>
      <c r="AN56" s="460">
        <v>-51070</v>
      </c>
      <c r="AO56" s="460"/>
      <c r="AP56" s="460"/>
    </row>
    <row r="57" spans="1:42" s="424" customFormat="1" ht="31.5">
      <c r="A57" s="432" t="s">
        <v>433</v>
      </c>
      <c r="B57" s="153" t="s">
        <v>215</v>
      </c>
      <c r="C57" s="488">
        <f t="shared" si="95"/>
        <v>30697</v>
      </c>
      <c r="D57" s="488">
        <f t="shared" si="96"/>
        <v>28395</v>
      </c>
      <c r="E57" s="460">
        <f t="shared" si="57"/>
        <v>8257</v>
      </c>
      <c r="F57" s="460"/>
      <c r="G57" s="460">
        <v>8257</v>
      </c>
      <c r="H57" s="460">
        <f t="shared" si="58"/>
        <v>22440</v>
      </c>
      <c r="I57" s="460">
        <v>22440</v>
      </c>
      <c r="J57" s="460"/>
      <c r="K57" s="489">
        <f t="shared" si="2"/>
        <v>0</v>
      </c>
      <c r="L57" s="489">
        <f t="shared" si="3"/>
        <v>0</v>
      </c>
      <c r="M57" s="460"/>
      <c r="N57" s="489">
        <f t="shared" si="4"/>
        <v>20138</v>
      </c>
      <c r="O57" s="489">
        <f t="shared" si="5"/>
        <v>0</v>
      </c>
      <c r="P57" s="460">
        <f>20138-O57</f>
        <v>20138</v>
      </c>
      <c r="Q57" s="462">
        <f t="shared" si="116"/>
        <v>0</v>
      </c>
      <c r="R57" s="462">
        <f t="shared" si="117"/>
        <v>0</v>
      </c>
      <c r="S57" s="462">
        <f t="shared" si="118"/>
        <v>0</v>
      </c>
      <c r="T57" s="462"/>
      <c r="U57" s="462"/>
      <c r="V57" s="462"/>
      <c r="W57" s="462"/>
      <c r="X57" s="462"/>
      <c r="Y57" s="462"/>
      <c r="Z57" s="462">
        <f t="shared" si="119"/>
        <v>0</v>
      </c>
      <c r="AA57" s="462"/>
      <c r="AB57" s="462"/>
      <c r="AC57" s="462"/>
      <c r="AD57" s="462">
        <f t="shared" si="120"/>
        <v>-22440</v>
      </c>
      <c r="AE57" s="462">
        <f t="shared" si="121"/>
        <v>0</v>
      </c>
      <c r="AF57" s="462">
        <f t="shared" si="122"/>
        <v>-22440</v>
      </c>
      <c r="AG57" s="460"/>
      <c r="AH57" s="460"/>
      <c r="AI57" s="460"/>
      <c r="AJ57" s="460"/>
      <c r="AK57" s="460"/>
      <c r="AL57" s="462">
        <f t="shared" si="123"/>
        <v>-22440</v>
      </c>
      <c r="AM57" s="460"/>
      <c r="AN57" s="460">
        <v>-22440</v>
      </c>
      <c r="AO57" s="460"/>
      <c r="AP57" s="460"/>
    </row>
    <row r="58" spans="1:42" s="424" customFormat="1" ht="31.5">
      <c r="A58" s="432" t="s">
        <v>433</v>
      </c>
      <c r="B58" s="502" t="s">
        <v>218</v>
      </c>
      <c r="C58" s="488">
        <f t="shared" si="95"/>
        <v>9867</v>
      </c>
      <c r="D58" s="488">
        <f t="shared" si="96"/>
        <v>12812</v>
      </c>
      <c r="E58" s="460">
        <f t="shared" si="57"/>
        <v>5681</v>
      </c>
      <c r="F58" s="460">
        <v>555</v>
      </c>
      <c r="G58" s="460">
        <v>5126</v>
      </c>
      <c r="H58" s="460">
        <f t="shared" si="58"/>
        <v>4186</v>
      </c>
      <c r="I58" s="460">
        <v>4186</v>
      </c>
      <c r="J58" s="460"/>
      <c r="K58" s="489">
        <f t="shared" si="2"/>
        <v>0</v>
      </c>
      <c r="L58" s="489">
        <f t="shared" si="3"/>
        <v>0</v>
      </c>
      <c r="M58" s="460"/>
      <c r="N58" s="489">
        <f t="shared" si="4"/>
        <v>7131</v>
      </c>
      <c r="O58" s="489">
        <f t="shared" si="5"/>
        <v>0</v>
      </c>
      <c r="P58" s="460">
        <f>7131-O58</f>
        <v>7131</v>
      </c>
      <c r="Q58" s="462">
        <f t="shared" si="116"/>
        <v>0</v>
      </c>
      <c r="R58" s="462">
        <f t="shared" si="117"/>
        <v>0</v>
      </c>
      <c r="S58" s="462">
        <f t="shared" si="118"/>
        <v>0</v>
      </c>
      <c r="T58" s="462"/>
      <c r="U58" s="462"/>
      <c r="V58" s="462"/>
      <c r="W58" s="462"/>
      <c r="X58" s="462"/>
      <c r="Y58" s="462"/>
      <c r="Z58" s="462">
        <f t="shared" si="119"/>
        <v>0</v>
      </c>
      <c r="AA58" s="462"/>
      <c r="AB58" s="462"/>
      <c r="AC58" s="462"/>
      <c r="AD58" s="462">
        <f t="shared" si="120"/>
        <v>-4186</v>
      </c>
      <c r="AE58" s="462">
        <f t="shared" si="121"/>
        <v>0</v>
      </c>
      <c r="AF58" s="462">
        <f t="shared" si="122"/>
        <v>-4186</v>
      </c>
      <c r="AG58" s="460"/>
      <c r="AH58" s="460"/>
      <c r="AI58" s="460"/>
      <c r="AJ58" s="460"/>
      <c r="AK58" s="460"/>
      <c r="AL58" s="462">
        <f t="shared" si="123"/>
        <v>-4186</v>
      </c>
      <c r="AM58" s="460"/>
      <c r="AN58" s="460">
        <v>-4186</v>
      </c>
      <c r="AO58" s="460"/>
      <c r="AP58" s="460"/>
    </row>
    <row r="59" spans="1:42" s="424" customFormat="1">
      <c r="A59" s="432" t="s">
        <v>433</v>
      </c>
      <c r="B59" s="502" t="s">
        <v>528</v>
      </c>
      <c r="C59" s="488">
        <f t="shared" si="95"/>
        <v>0</v>
      </c>
      <c r="D59" s="488">
        <f t="shared" si="96"/>
        <v>57339</v>
      </c>
      <c r="E59" s="460">
        <f t="shared" si="57"/>
        <v>0</v>
      </c>
      <c r="F59" s="460"/>
      <c r="G59" s="460"/>
      <c r="H59" s="460">
        <f t="shared" si="58"/>
        <v>0</v>
      </c>
      <c r="I59" s="460"/>
      <c r="J59" s="460"/>
      <c r="K59" s="489">
        <f t="shared" si="2"/>
        <v>0</v>
      </c>
      <c r="L59" s="489">
        <f t="shared" si="3"/>
        <v>0</v>
      </c>
      <c r="M59" s="460"/>
      <c r="N59" s="489">
        <f t="shared" si="4"/>
        <v>57339</v>
      </c>
      <c r="O59" s="489">
        <f t="shared" si="5"/>
        <v>0</v>
      </c>
      <c r="P59" s="460">
        <f>14239-O59+43100</f>
        <v>57339</v>
      </c>
      <c r="Q59" s="462">
        <f t="shared" si="116"/>
        <v>0</v>
      </c>
      <c r="R59" s="462">
        <f t="shared" si="117"/>
        <v>0</v>
      </c>
      <c r="S59" s="462">
        <f t="shared" si="118"/>
        <v>0</v>
      </c>
      <c r="T59" s="462"/>
      <c r="U59" s="462"/>
      <c r="V59" s="462"/>
      <c r="W59" s="462"/>
      <c r="X59" s="462"/>
      <c r="Y59" s="462"/>
      <c r="Z59" s="462">
        <f t="shared" si="119"/>
        <v>0</v>
      </c>
      <c r="AA59" s="462"/>
      <c r="AB59" s="462"/>
      <c r="AC59" s="462"/>
      <c r="AD59" s="462">
        <f t="shared" si="120"/>
        <v>0</v>
      </c>
      <c r="AE59" s="462">
        <f t="shared" si="121"/>
        <v>0</v>
      </c>
      <c r="AF59" s="462">
        <f t="shared" si="122"/>
        <v>0</v>
      </c>
      <c r="AG59" s="460"/>
      <c r="AH59" s="460"/>
      <c r="AI59" s="460"/>
      <c r="AJ59" s="460"/>
      <c r="AK59" s="460"/>
      <c r="AL59" s="462">
        <f t="shared" si="123"/>
        <v>0</v>
      </c>
      <c r="AM59" s="460"/>
      <c r="AN59" s="460"/>
      <c r="AO59" s="460"/>
      <c r="AP59" s="460"/>
    </row>
    <row r="60" spans="1:42" s="424" customFormat="1" ht="63">
      <c r="A60" s="432" t="s">
        <v>433</v>
      </c>
      <c r="B60" s="466" t="s">
        <v>220</v>
      </c>
      <c r="C60" s="488">
        <f t="shared" si="95"/>
        <v>5481</v>
      </c>
      <c r="D60" s="488">
        <f t="shared" si="96"/>
        <v>11342</v>
      </c>
      <c r="E60" s="460">
        <f t="shared" si="57"/>
        <v>5481</v>
      </c>
      <c r="F60" s="460">
        <v>3048</v>
      </c>
      <c r="G60" s="460">
        <v>2433</v>
      </c>
      <c r="H60" s="460">
        <f t="shared" si="58"/>
        <v>0</v>
      </c>
      <c r="I60" s="460">
        <v>0</v>
      </c>
      <c r="J60" s="460"/>
      <c r="K60" s="489">
        <f t="shared" si="2"/>
        <v>0</v>
      </c>
      <c r="L60" s="489">
        <f t="shared" si="3"/>
        <v>0</v>
      </c>
      <c r="M60" s="460"/>
      <c r="N60" s="489">
        <f t="shared" si="4"/>
        <v>5861</v>
      </c>
      <c r="O60" s="489">
        <f t="shared" si="5"/>
        <v>0</v>
      </c>
      <c r="P60" s="460">
        <f>2813-O60+3048</f>
        <v>5861</v>
      </c>
      <c r="Q60" s="462">
        <f t="shared" si="116"/>
        <v>0</v>
      </c>
      <c r="R60" s="462">
        <f t="shared" si="117"/>
        <v>0</v>
      </c>
      <c r="S60" s="462">
        <f t="shared" si="118"/>
        <v>0</v>
      </c>
      <c r="T60" s="462"/>
      <c r="U60" s="462"/>
      <c r="V60" s="462"/>
      <c r="W60" s="462"/>
      <c r="X60" s="462"/>
      <c r="Y60" s="462"/>
      <c r="Z60" s="462">
        <f t="shared" si="119"/>
        <v>0</v>
      </c>
      <c r="AA60" s="462"/>
      <c r="AB60" s="462"/>
      <c r="AC60" s="462"/>
      <c r="AD60" s="462">
        <f t="shared" si="120"/>
        <v>0</v>
      </c>
      <c r="AE60" s="462">
        <f t="shared" si="121"/>
        <v>0</v>
      </c>
      <c r="AF60" s="462">
        <f t="shared" si="122"/>
        <v>0</v>
      </c>
      <c r="AG60" s="460"/>
      <c r="AH60" s="460"/>
      <c r="AI60" s="460"/>
      <c r="AJ60" s="460"/>
      <c r="AK60" s="460"/>
      <c r="AL60" s="462">
        <f t="shared" si="123"/>
        <v>0</v>
      </c>
      <c r="AM60" s="460"/>
      <c r="AN60" s="460"/>
      <c r="AO60" s="460"/>
      <c r="AP60" s="460"/>
    </row>
    <row r="61" spans="1:42">
      <c r="A61" s="431" t="s">
        <v>369</v>
      </c>
      <c r="B61" s="120" t="s">
        <v>402</v>
      </c>
      <c r="C61" s="488">
        <f t="shared" si="95"/>
        <v>424972</v>
      </c>
      <c r="D61" s="488">
        <f t="shared" si="96"/>
        <v>452825</v>
      </c>
      <c r="E61" s="462">
        <f>SUM(E62:E65)</f>
        <v>424972</v>
      </c>
      <c r="F61" s="462">
        <f t="shared" ref="F61:J61" si="124">SUM(F62:F65)</f>
        <v>0</v>
      </c>
      <c r="G61" s="462">
        <f>SUM(G62:G65)</f>
        <v>424972</v>
      </c>
      <c r="H61" s="462">
        <f t="shared" si="124"/>
        <v>0</v>
      </c>
      <c r="I61" s="462">
        <f t="shared" si="124"/>
        <v>0</v>
      </c>
      <c r="J61" s="462">
        <f t="shared" si="124"/>
        <v>0</v>
      </c>
      <c r="K61" s="489">
        <f t="shared" si="2"/>
        <v>0</v>
      </c>
      <c r="L61" s="489">
        <f t="shared" si="3"/>
        <v>0</v>
      </c>
      <c r="M61" s="462">
        <f t="shared" ref="M61" si="125">SUM(M62:M65)</f>
        <v>0</v>
      </c>
      <c r="N61" s="489">
        <f t="shared" si="4"/>
        <v>27853</v>
      </c>
      <c r="O61" s="489">
        <f t="shared" si="5"/>
        <v>0</v>
      </c>
      <c r="P61" s="462">
        <f t="shared" ref="P61" si="126">SUM(P62:P65)</f>
        <v>27853</v>
      </c>
      <c r="Q61" s="462">
        <f t="shared" ref="Q61:AP61" si="127">SUM(Q62:Q65)</f>
        <v>0</v>
      </c>
      <c r="R61" s="462">
        <f t="shared" si="127"/>
        <v>0</v>
      </c>
      <c r="S61" s="462">
        <f t="shared" si="127"/>
        <v>0</v>
      </c>
      <c r="T61" s="462">
        <f t="shared" si="127"/>
        <v>0</v>
      </c>
      <c r="U61" s="462">
        <f t="shared" si="127"/>
        <v>0</v>
      </c>
      <c r="V61" s="462">
        <f t="shared" si="127"/>
        <v>0</v>
      </c>
      <c r="W61" s="462">
        <f t="shared" si="127"/>
        <v>0</v>
      </c>
      <c r="X61" s="462">
        <f t="shared" si="127"/>
        <v>0</v>
      </c>
      <c r="Y61" s="462">
        <f t="shared" si="127"/>
        <v>0</v>
      </c>
      <c r="Z61" s="462">
        <f t="shared" si="127"/>
        <v>0</v>
      </c>
      <c r="AA61" s="462">
        <f t="shared" si="127"/>
        <v>0</v>
      </c>
      <c r="AB61" s="462">
        <f t="shared" si="127"/>
        <v>0</v>
      </c>
      <c r="AC61" s="462">
        <f t="shared" si="127"/>
        <v>0</v>
      </c>
      <c r="AD61" s="462">
        <f t="shared" si="127"/>
        <v>0</v>
      </c>
      <c r="AE61" s="462">
        <f t="shared" si="127"/>
        <v>0</v>
      </c>
      <c r="AF61" s="462">
        <f t="shared" si="127"/>
        <v>0</v>
      </c>
      <c r="AG61" s="462">
        <f t="shared" si="127"/>
        <v>0</v>
      </c>
      <c r="AH61" s="462">
        <f t="shared" si="127"/>
        <v>0</v>
      </c>
      <c r="AI61" s="462">
        <f t="shared" si="127"/>
        <v>0</v>
      </c>
      <c r="AJ61" s="462">
        <f t="shared" si="127"/>
        <v>0</v>
      </c>
      <c r="AK61" s="462">
        <f t="shared" si="127"/>
        <v>0</v>
      </c>
      <c r="AL61" s="462">
        <f t="shared" si="127"/>
        <v>0</v>
      </c>
      <c r="AM61" s="462">
        <f t="shared" si="127"/>
        <v>0</v>
      </c>
      <c r="AN61" s="462">
        <f t="shared" si="127"/>
        <v>0</v>
      </c>
      <c r="AO61" s="462">
        <f t="shared" si="127"/>
        <v>0</v>
      </c>
      <c r="AP61" s="462">
        <f t="shared" si="127"/>
        <v>0</v>
      </c>
    </row>
    <row r="62" spans="1:42" s="424" customFormat="1" ht="31.5">
      <c r="A62" s="432" t="s">
        <v>433</v>
      </c>
      <c r="B62" s="435" t="s">
        <v>441</v>
      </c>
      <c r="C62" s="488">
        <f t="shared" si="95"/>
        <v>117000</v>
      </c>
      <c r="D62" s="488">
        <f t="shared" si="96"/>
        <v>127853</v>
      </c>
      <c r="E62" s="460">
        <f>F62+G62</f>
        <v>117000</v>
      </c>
      <c r="F62" s="460"/>
      <c r="G62" s="460">
        <v>117000</v>
      </c>
      <c r="H62" s="460">
        <f>I62+J62</f>
        <v>0</v>
      </c>
      <c r="I62" s="460"/>
      <c r="J62" s="460"/>
      <c r="K62" s="489">
        <f t="shared" si="2"/>
        <v>0</v>
      </c>
      <c r="L62" s="489">
        <f t="shared" si="3"/>
        <v>0</v>
      </c>
      <c r="M62" s="460"/>
      <c r="N62" s="489">
        <f t="shared" si="4"/>
        <v>10853</v>
      </c>
      <c r="O62" s="489">
        <f t="shared" si="5"/>
        <v>0</v>
      </c>
      <c r="P62" s="460">
        <f>10853-O62</f>
        <v>10853</v>
      </c>
      <c r="Q62" s="462">
        <f t="shared" ref="Q62:Q66" si="128">R62+S62</f>
        <v>0</v>
      </c>
      <c r="R62" s="462">
        <f t="shared" ref="R62:R66" si="129">T62+U62+V62+W62+X62+Y62+AA62</f>
        <v>0</v>
      </c>
      <c r="S62" s="462">
        <f t="shared" ref="S62:S66" si="130">AB62</f>
        <v>0</v>
      </c>
      <c r="T62" s="462"/>
      <c r="U62" s="462"/>
      <c r="V62" s="462"/>
      <c r="W62" s="462"/>
      <c r="X62" s="462"/>
      <c r="Y62" s="462"/>
      <c r="Z62" s="462">
        <f t="shared" ref="Z62:Z66" si="131">AB62+AA62</f>
        <v>0</v>
      </c>
      <c r="AA62" s="462"/>
      <c r="AB62" s="462"/>
      <c r="AC62" s="462"/>
      <c r="AD62" s="462">
        <f t="shared" ref="AD62:AD66" si="132">AE62+AF62</f>
        <v>0</v>
      </c>
      <c r="AE62" s="462">
        <f t="shared" ref="AE62:AE66" si="133">AG62+AH62+AI62+AJ62+AK62+AM62+AO62+AP62</f>
        <v>0</v>
      </c>
      <c r="AF62" s="462">
        <f t="shared" ref="AF62:AF66" si="134">AN62</f>
        <v>0</v>
      </c>
      <c r="AG62" s="460"/>
      <c r="AH62" s="460"/>
      <c r="AI62" s="460"/>
      <c r="AJ62" s="460"/>
      <c r="AK62" s="460"/>
      <c r="AL62" s="462">
        <f t="shared" ref="AL62:AL66" si="135">AM62+AN62</f>
        <v>0</v>
      </c>
      <c r="AM62" s="460"/>
      <c r="AN62" s="460"/>
      <c r="AO62" s="460"/>
      <c r="AP62" s="460"/>
    </row>
    <row r="63" spans="1:42" s="424" customFormat="1">
      <c r="A63" s="432" t="s">
        <v>433</v>
      </c>
      <c r="B63" s="435" t="s">
        <v>446</v>
      </c>
      <c r="C63" s="488">
        <f t="shared" si="95"/>
        <v>3805</v>
      </c>
      <c r="D63" s="488">
        <f t="shared" si="96"/>
        <v>3805</v>
      </c>
      <c r="E63" s="460">
        <f t="shared" si="57"/>
        <v>3805</v>
      </c>
      <c r="F63" s="460"/>
      <c r="G63" s="460">
        <f>2458+1347</f>
        <v>3805</v>
      </c>
      <c r="H63" s="460">
        <f t="shared" si="58"/>
        <v>0</v>
      </c>
      <c r="I63" s="460"/>
      <c r="J63" s="460"/>
      <c r="K63" s="489">
        <f t="shared" si="2"/>
        <v>0</v>
      </c>
      <c r="L63" s="489">
        <f t="shared" si="3"/>
        <v>0</v>
      </c>
      <c r="M63" s="460"/>
      <c r="N63" s="489">
        <f t="shared" si="4"/>
        <v>0</v>
      </c>
      <c r="O63" s="489">
        <f t="shared" si="5"/>
        <v>0</v>
      </c>
      <c r="P63" s="460"/>
      <c r="Q63" s="462">
        <f t="shared" si="128"/>
        <v>0</v>
      </c>
      <c r="R63" s="462">
        <f t="shared" si="129"/>
        <v>0</v>
      </c>
      <c r="S63" s="462">
        <f t="shared" si="130"/>
        <v>0</v>
      </c>
      <c r="T63" s="462"/>
      <c r="U63" s="462"/>
      <c r="V63" s="462"/>
      <c r="W63" s="462"/>
      <c r="X63" s="462"/>
      <c r="Y63" s="462"/>
      <c r="Z63" s="462">
        <f t="shared" si="131"/>
        <v>0</v>
      </c>
      <c r="AA63" s="462"/>
      <c r="AB63" s="462"/>
      <c r="AC63" s="462"/>
      <c r="AD63" s="462">
        <f t="shared" si="132"/>
        <v>0</v>
      </c>
      <c r="AE63" s="462">
        <f t="shared" si="133"/>
        <v>0</v>
      </c>
      <c r="AF63" s="462">
        <f t="shared" si="134"/>
        <v>0</v>
      </c>
      <c r="AG63" s="460"/>
      <c r="AH63" s="460"/>
      <c r="AI63" s="460"/>
      <c r="AJ63" s="460"/>
      <c r="AK63" s="460"/>
      <c r="AL63" s="462">
        <f t="shared" si="135"/>
        <v>0</v>
      </c>
      <c r="AM63" s="460"/>
      <c r="AN63" s="460"/>
      <c r="AO63" s="460"/>
      <c r="AP63" s="460"/>
    </row>
    <row r="64" spans="1:42" s="424" customFormat="1">
      <c r="A64" s="432" t="s">
        <v>433</v>
      </c>
      <c r="B64" s="435" t="s">
        <v>465</v>
      </c>
      <c r="C64" s="488">
        <f t="shared" si="95"/>
        <v>173110</v>
      </c>
      <c r="D64" s="488">
        <f t="shared" si="96"/>
        <v>190110</v>
      </c>
      <c r="E64" s="460">
        <f t="shared" si="57"/>
        <v>173110</v>
      </c>
      <c r="F64" s="460"/>
      <c r="G64" s="460">
        <v>173110</v>
      </c>
      <c r="H64" s="460"/>
      <c r="I64" s="460"/>
      <c r="J64" s="460"/>
      <c r="K64" s="489">
        <f t="shared" si="2"/>
        <v>0</v>
      </c>
      <c r="L64" s="489">
        <f t="shared" si="3"/>
        <v>0</v>
      </c>
      <c r="M64" s="460"/>
      <c r="N64" s="489">
        <f t="shared" si="4"/>
        <v>17000</v>
      </c>
      <c r="O64" s="489">
        <f t="shared" si="5"/>
        <v>0</v>
      </c>
      <c r="P64" s="460">
        <f>17000-O64</f>
        <v>17000</v>
      </c>
      <c r="Q64" s="462">
        <f t="shared" si="128"/>
        <v>0</v>
      </c>
      <c r="R64" s="462">
        <f t="shared" si="129"/>
        <v>0</v>
      </c>
      <c r="S64" s="462">
        <f t="shared" si="130"/>
        <v>0</v>
      </c>
      <c r="T64" s="462"/>
      <c r="U64" s="462"/>
      <c r="V64" s="462"/>
      <c r="W64" s="462"/>
      <c r="X64" s="462"/>
      <c r="Y64" s="462"/>
      <c r="Z64" s="462">
        <f t="shared" si="131"/>
        <v>0</v>
      </c>
      <c r="AA64" s="462"/>
      <c r="AB64" s="462"/>
      <c r="AC64" s="462"/>
      <c r="AD64" s="462">
        <f t="shared" si="132"/>
        <v>0</v>
      </c>
      <c r="AE64" s="462">
        <f t="shared" si="133"/>
        <v>0</v>
      </c>
      <c r="AF64" s="462">
        <f t="shared" si="134"/>
        <v>0</v>
      </c>
      <c r="AG64" s="460"/>
      <c r="AH64" s="460"/>
      <c r="AI64" s="460"/>
      <c r="AJ64" s="460"/>
      <c r="AK64" s="460"/>
      <c r="AL64" s="462">
        <f t="shared" si="135"/>
        <v>0</v>
      </c>
      <c r="AM64" s="460"/>
      <c r="AN64" s="460"/>
      <c r="AO64" s="460"/>
      <c r="AP64" s="460"/>
    </row>
    <row r="65" spans="1:42" s="424" customFormat="1">
      <c r="A65" s="432" t="s">
        <v>433</v>
      </c>
      <c r="B65" s="435" t="s">
        <v>402</v>
      </c>
      <c r="C65" s="488">
        <f t="shared" si="95"/>
        <v>131057</v>
      </c>
      <c r="D65" s="488">
        <f t="shared" si="96"/>
        <v>131057</v>
      </c>
      <c r="E65" s="460">
        <f t="shared" si="57"/>
        <v>131057</v>
      </c>
      <c r="F65" s="460"/>
      <c r="G65" s="460">
        <f>112785-4000+206-4000-2680-120+27076+2000-10-253+53</f>
        <v>131057</v>
      </c>
      <c r="H65" s="460">
        <f t="shared" si="58"/>
        <v>0</v>
      </c>
      <c r="I65" s="460"/>
      <c r="J65" s="460"/>
      <c r="K65" s="489">
        <f t="shared" si="2"/>
        <v>0</v>
      </c>
      <c r="L65" s="489">
        <f t="shared" si="3"/>
        <v>0</v>
      </c>
      <c r="M65" s="460"/>
      <c r="N65" s="489">
        <f t="shared" si="4"/>
        <v>0</v>
      </c>
      <c r="O65" s="489">
        <f t="shared" si="5"/>
        <v>0</v>
      </c>
      <c r="P65" s="460"/>
      <c r="Q65" s="462">
        <f t="shared" si="128"/>
        <v>0</v>
      </c>
      <c r="R65" s="462">
        <f t="shared" si="129"/>
        <v>0</v>
      </c>
      <c r="S65" s="462">
        <f t="shared" si="130"/>
        <v>0</v>
      </c>
      <c r="T65" s="462"/>
      <c r="U65" s="462"/>
      <c r="V65" s="462"/>
      <c r="W65" s="462"/>
      <c r="X65" s="462"/>
      <c r="Y65" s="462"/>
      <c r="Z65" s="462">
        <f t="shared" si="131"/>
        <v>0</v>
      </c>
      <c r="AA65" s="462"/>
      <c r="AB65" s="462"/>
      <c r="AC65" s="462"/>
      <c r="AD65" s="462">
        <f t="shared" si="132"/>
        <v>0</v>
      </c>
      <c r="AE65" s="462">
        <f t="shared" si="133"/>
        <v>0</v>
      </c>
      <c r="AF65" s="462">
        <f t="shared" si="134"/>
        <v>0</v>
      </c>
      <c r="AG65" s="460"/>
      <c r="AH65" s="460"/>
      <c r="AI65" s="460"/>
      <c r="AJ65" s="460"/>
      <c r="AK65" s="460"/>
      <c r="AL65" s="462">
        <f t="shared" si="135"/>
        <v>0</v>
      </c>
      <c r="AM65" s="460"/>
      <c r="AN65" s="460"/>
      <c r="AO65" s="460"/>
      <c r="AP65" s="460"/>
    </row>
    <row r="66" spans="1:42" s="424" customFormat="1">
      <c r="A66" s="432"/>
      <c r="B66" s="439" t="s">
        <v>444</v>
      </c>
      <c r="C66" s="488">
        <f t="shared" si="95"/>
        <v>13105.7</v>
      </c>
      <c r="D66" s="488">
        <f t="shared" si="96"/>
        <v>13105.7</v>
      </c>
      <c r="E66" s="460">
        <f>F66+G66</f>
        <v>13105.7</v>
      </c>
      <c r="F66" s="460"/>
      <c r="G66" s="460">
        <f>G65*10%</f>
        <v>13105.7</v>
      </c>
      <c r="H66" s="462">
        <f>I66+J66</f>
        <v>0</v>
      </c>
      <c r="I66" s="460"/>
      <c r="J66" s="460"/>
      <c r="K66" s="489">
        <f t="shared" si="2"/>
        <v>0</v>
      </c>
      <c r="L66" s="489">
        <f t="shared" si="3"/>
        <v>0</v>
      </c>
      <c r="M66" s="460"/>
      <c r="N66" s="489">
        <f t="shared" si="4"/>
        <v>0</v>
      </c>
      <c r="O66" s="489">
        <f t="shared" si="5"/>
        <v>0</v>
      </c>
      <c r="P66" s="460"/>
      <c r="Q66" s="462">
        <f t="shared" si="128"/>
        <v>0</v>
      </c>
      <c r="R66" s="462">
        <f t="shared" si="129"/>
        <v>0</v>
      </c>
      <c r="S66" s="462">
        <f t="shared" si="130"/>
        <v>0</v>
      </c>
      <c r="T66" s="462"/>
      <c r="U66" s="462"/>
      <c r="V66" s="462"/>
      <c r="W66" s="462"/>
      <c r="X66" s="462"/>
      <c r="Y66" s="462"/>
      <c r="Z66" s="462">
        <f t="shared" si="131"/>
        <v>0</v>
      </c>
      <c r="AA66" s="462"/>
      <c r="AB66" s="462"/>
      <c r="AC66" s="462"/>
      <c r="AD66" s="462">
        <f t="shared" si="132"/>
        <v>0</v>
      </c>
      <c r="AE66" s="462">
        <f t="shared" si="133"/>
        <v>0</v>
      </c>
      <c r="AF66" s="462">
        <f t="shared" si="134"/>
        <v>0</v>
      </c>
      <c r="AG66" s="460"/>
      <c r="AH66" s="460"/>
      <c r="AI66" s="460"/>
      <c r="AJ66" s="460"/>
      <c r="AK66" s="460"/>
      <c r="AL66" s="462">
        <f t="shared" si="135"/>
        <v>0</v>
      </c>
      <c r="AM66" s="460"/>
      <c r="AN66" s="460"/>
      <c r="AO66" s="460"/>
      <c r="AP66" s="460"/>
    </row>
    <row r="67" spans="1:42" s="434" customFormat="1">
      <c r="A67" s="561">
        <v>4</v>
      </c>
      <c r="B67" s="433" t="s">
        <v>60</v>
      </c>
      <c r="C67" s="489">
        <f>C68+C71+C79</f>
        <v>983979</v>
      </c>
      <c r="D67" s="489">
        <f>D68+D71+D79</f>
        <v>1070686</v>
      </c>
      <c r="E67" s="495">
        <f>F67+G67</f>
        <v>940949</v>
      </c>
      <c r="F67" s="495">
        <f>F68+F71+F79</f>
        <v>836968</v>
      </c>
      <c r="G67" s="495">
        <f>G68+G71+G79</f>
        <v>103981</v>
      </c>
      <c r="H67" s="495">
        <f>I67+J67</f>
        <v>43030</v>
      </c>
      <c r="I67" s="495">
        <f>I68+I71+I79</f>
        <v>43030</v>
      </c>
      <c r="J67" s="495">
        <f>J68+J71+J79</f>
        <v>0</v>
      </c>
      <c r="K67" s="489">
        <f t="shared" si="2"/>
        <v>0</v>
      </c>
      <c r="L67" s="489">
        <f t="shared" si="3"/>
        <v>0</v>
      </c>
      <c r="M67" s="495">
        <f>M68+M71+M79</f>
        <v>0</v>
      </c>
      <c r="N67" s="489">
        <f t="shared" si="4"/>
        <v>123057</v>
      </c>
      <c r="O67" s="489">
        <f t="shared" si="5"/>
        <v>0</v>
      </c>
      <c r="P67" s="495">
        <f>P68+P71+P79</f>
        <v>123057</v>
      </c>
      <c r="Q67" s="495">
        <f t="shared" ref="Q67:AP67" si="136">Q68+Q71+Q79</f>
        <v>0</v>
      </c>
      <c r="R67" s="495">
        <f t="shared" si="136"/>
        <v>0</v>
      </c>
      <c r="S67" s="495">
        <f t="shared" si="136"/>
        <v>0</v>
      </c>
      <c r="T67" s="495">
        <f t="shared" si="136"/>
        <v>0</v>
      </c>
      <c r="U67" s="495">
        <f t="shared" si="136"/>
        <v>0</v>
      </c>
      <c r="V67" s="495">
        <f t="shared" si="136"/>
        <v>0</v>
      </c>
      <c r="W67" s="495">
        <f t="shared" si="136"/>
        <v>0</v>
      </c>
      <c r="X67" s="495">
        <f t="shared" si="136"/>
        <v>0</v>
      </c>
      <c r="Y67" s="495">
        <f t="shared" si="136"/>
        <v>0</v>
      </c>
      <c r="Z67" s="495">
        <f t="shared" si="136"/>
        <v>0</v>
      </c>
      <c r="AA67" s="495">
        <f t="shared" si="136"/>
        <v>0</v>
      </c>
      <c r="AB67" s="495">
        <f t="shared" si="136"/>
        <v>0</v>
      </c>
      <c r="AC67" s="495">
        <f t="shared" si="136"/>
        <v>0</v>
      </c>
      <c r="AD67" s="495">
        <f t="shared" si="136"/>
        <v>-36350</v>
      </c>
      <c r="AE67" s="495">
        <f t="shared" si="136"/>
        <v>0</v>
      </c>
      <c r="AF67" s="495">
        <f t="shared" si="136"/>
        <v>-36350</v>
      </c>
      <c r="AG67" s="495">
        <f t="shared" si="136"/>
        <v>0</v>
      </c>
      <c r="AH67" s="495">
        <f t="shared" si="136"/>
        <v>0</v>
      </c>
      <c r="AI67" s="495">
        <f t="shared" si="136"/>
        <v>0</v>
      </c>
      <c r="AJ67" s="495">
        <f t="shared" si="136"/>
        <v>0</v>
      </c>
      <c r="AK67" s="495">
        <f t="shared" si="136"/>
        <v>0</v>
      </c>
      <c r="AL67" s="495">
        <f t="shared" si="136"/>
        <v>-36350</v>
      </c>
      <c r="AM67" s="495">
        <f t="shared" si="136"/>
        <v>0</v>
      </c>
      <c r="AN67" s="495">
        <f t="shared" si="136"/>
        <v>-36350</v>
      </c>
      <c r="AO67" s="495">
        <f t="shared" si="136"/>
        <v>0</v>
      </c>
      <c r="AP67" s="495">
        <f t="shared" si="136"/>
        <v>0</v>
      </c>
    </row>
    <row r="68" spans="1:42" s="421" customFormat="1">
      <c r="A68" s="431" t="s">
        <v>86</v>
      </c>
      <c r="B68" s="480" t="s">
        <v>403</v>
      </c>
      <c r="C68" s="488">
        <f t="shared" ref="C68:C84" si="137">E68+H68</f>
        <v>490000</v>
      </c>
      <c r="D68" s="488">
        <f t="shared" ref="D68:D84" si="138">E68+H68+M68+P68+Q68+AD68</f>
        <v>490000</v>
      </c>
      <c r="E68" s="497">
        <f t="shared" si="57"/>
        <v>483320</v>
      </c>
      <c r="F68" s="497">
        <f>F69+F70</f>
        <v>483320</v>
      </c>
      <c r="G68" s="497">
        <f>G69+G70</f>
        <v>0</v>
      </c>
      <c r="H68" s="497">
        <f t="shared" si="58"/>
        <v>6680</v>
      </c>
      <c r="I68" s="497">
        <f>I69+I70</f>
        <v>6680</v>
      </c>
      <c r="J68" s="497">
        <f>J69+J70</f>
        <v>0</v>
      </c>
      <c r="K68" s="489">
        <f t="shared" si="2"/>
        <v>0</v>
      </c>
      <c r="L68" s="489">
        <f t="shared" si="3"/>
        <v>0</v>
      </c>
      <c r="M68" s="497">
        <f>M69+M70</f>
        <v>0</v>
      </c>
      <c r="N68" s="489">
        <f t="shared" si="4"/>
        <v>0</v>
      </c>
      <c r="O68" s="489">
        <f t="shared" si="5"/>
        <v>0</v>
      </c>
      <c r="P68" s="497">
        <f>P69+P70</f>
        <v>0</v>
      </c>
      <c r="Q68" s="497">
        <f t="shared" ref="Q68:AP68" si="139">Q69+Q70</f>
        <v>0</v>
      </c>
      <c r="R68" s="497">
        <f t="shared" si="139"/>
        <v>0</v>
      </c>
      <c r="S68" s="497">
        <f t="shared" si="139"/>
        <v>0</v>
      </c>
      <c r="T68" s="497">
        <f t="shared" si="139"/>
        <v>0</v>
      </c>
      <c r="U68" s="497">
        <f t="shared" si="139"/>
        <v>0</v>
      </c>
      <c r="V68" s="497">
        <f t="shared" si="139"/>
        <v>0</v>
      </c>
      <c r="W68" s="497">
        <f t="shared" si="139"/>
        <v>0</v>
      </c>
      <c r="X68" s="497">
        <f t="shared" si="139"/>
        <v>0</v>
      </c>
      <c r="Y68" s="497">
        <f t="shared" si="139"/>
        <v>0</v>
      </c>
      <c r="Z68" s="497">
        <f t="shared" si="139"/>
        <v>0</v>
      </c>
      <c r="AA68" s="497">
        <f t="shared" si="139"/>
        <v>0</v>
      </c>
      <c r="AB68" s="497">
        <f t="shared" si="139"/>
        <v>0</v>
      </c>
      <c r="AC68" s="497">
        <f t="shared" si="139"/>
        <v>0</v>
      </c>
      <c r="AD68" s="497">
        <f t="shared" si="139"/>
        <v>0</v>
      </c>
      <c r="AE68" s="497">
        <f t="shared" si="139"/>
        <v>0</v>
      </c>
      <c r="AF68" s="497">
        <f t="shared" si="139"/>
        <v>0</v>
      </c>
      <c r="AG68" s="497">
        <f t="shared" si="139"/>
        <v>0</v>
      </c>
      <c r="AH68" s="497">
        <f t="shared" si="139"/>
        <v>0</v>
      </c>
      <c r="AI68" s="497">
        <f t="shared" si="139"/>
        <v>0</v>
      </c>
      <c r="AJ68" s="497">
        <f t="shared" si="139"/>
        <v>0</v>
      </c>
      <c r="AK68" s="497">
        <f t="shared" si="139"/>
        <v>0</v>
      </c>
      <c r="AL68" s="497">
        <f t="shared" si="139"/>
        <v>0</v>
      </c>
      <c r="AM68" s="497">
        <f t="shared" si="139"/>
        <v>0</v>
      </c>
      <c r="AN68" s="497">
        <f t="shared" si="139"/>
        <v>0</v>
      </c>
      <c r="AO68" s="497">
        <f t="shared" si="139"/>
        <v>0</v>
      </c>
      <c r="AP68" s="497">
        <f t="shared" si="139"/>
        <v>0</v>
      </c>
    </row>
    <row r="69" spans="1:42" s="422" customFormat="1">
      <c r="A69" s="432" t="s">
        <v>433</v>
      </c>
      <c r="B69" s="435" t="s">
        <v>37</v>
      </c>
      <c r="C69" s="488">
        <f t="shared" si="137"/>
        <v>384068</v>
      </c>
      <c r="D69" s="488">
        <f t="shared" si="138"/>
        <v>384068</v>
      </c>
      <c r="E69" s="464">
        <f t="shared" si="57"/>
        <v>377388</v>
      </c>
      <c r="F69" s="464">
        <v>377388</v>
      </c>
      <c r="G69" s="464"/>
      <c r="H69" s="464">
        <f t="shared" si="58"/>
        <v>6680</v>
      </c>
      <c r="I69" s="464">
        <v>6680</v>
      </c>
      <c r="J69" s="464"/>
      <c r="K69" s="489">
        <f t="shared" si="2"/>
        <v>0</v>
      </c>
      <c r="L69" s="489">
        <f t="shared" si="3"/>
        <v>0</v>
      </c>
      <c r="M69" s="464"/>
      <c r="N69" s="489">
        <f t="shared" si="4"/>
        <v>0</v>
      </c>
      <c r="O69" s="489">
        <f t="shared" si="5"/>
        <v>0</v>
      </c>
      <c r="P69" s="464"/>
      <c r="Q69" s="462">
        <f t="shared" ref="Q69:Q70" si="140">R69+S69</f>
        <v>0</v>
      </c>
      <c r="R69" s="462">
        <f t="shared" ref="R69:R70" si="141">T69+U69+V69+W69+X69+Y69+AA69</f>
        <v>0</v>
      </c>
      <c r="S69" s="462">
        <f t="shared" ref="S69:S70" si="142">AB69</f>
        <v>0</v>
      </c>
      <c r="T69" s="462"/>
      <c r="U69" s="462"/>
      <c r="V69" s="462"/>
      <c r="W69" s="462"/>
      <c r="X69" s="462"/>
      <c r="Y69" s="462"/>
      <c r="Z69" s="462">
        <f t="shared" ref="Z69:Z70" si="143">AB69+AA69</f>
        <v>0</v>
      </c>
      <c r="AA69" s="462"/>
      <c r="AB69" s="462"/>
      <c r="AC69" s="462"/>
      <c r="AD69" s="462">
        <f t="shared" ref="AD69:AD70" si="144">AE69+AF69</f>
        <v>0</v>
      </c>
      <c r="AE69" s="462">
        <f t="shared" ref="AE69:AE70" si="145">AG69+AH69+AI69+AJ69+AK69+AM69+AO69+AP69</f>
        <v>0</v>
      </c>
      <c r="AF69" s="462">
        <f t="shared" ref="AF69:AF70" si="146">AN69</f>
        <v>0</v>
      </c>
      <c r="AG69" s="464"/>
      <c r="AH69" s="464"/>
      <c r="AI69" s="464"/>
      <c r="AJ69" s="464"/>
      <c r="AK69" s="464"/>
      <c r="AL69" s="462">
        <f t="shared" ref="AL69:AL70" si="147">AM69+AN69</f>
        <v>0</v>
      </c>
      <c r="AM69" s="464"/>
      <c r="AN69" s="464"/>
      <c r="AO69" s="464"/>
      <c r="AP69" s="464"/>
    </row>
    <row r="70" spans="1:42" s="422" customFormat="1">
      <c r="A70" s="432" t="s">
        <v>433</v>
      </c>
      <c r="B70" s="435" t="s">
        <v>437</v>
      </c>
      <c r="C70" s="488">
        <f t="shared" si="137"/>
        <v>105932</v>
      </c>
      <c r="D70" s="488">
        <f t="shared" si="138"/>
        <v>105932</v>
      </c>
      <c r="E70" s="464">
        <f>F70+G70</f>
        <v>105932</v>
      </c>
      <c r="F70" s="464">
        <v>105932</v>
      </c>
      <c r="G70" s="464"/>
      <c r="H70" s="464">
        <f t="shared" si="58"/>
        <v>0</v>
      </c>
      <c r="I70" s="464"/>
      <c r="J70" s="464"/>
      <c r="K70" s="489">
        <f t="shared" si="2"/>
        <v>0</v>
      </c>
      <c r="L70" s="489">
        <f t="shared" si="3"/>
        <v>0</v>
      </c>
      <c r="M70" s="464"/>
      <c r="N70" s="489">
        <f t="shared" si="4"/>
        <v>0</v>
      </c>
      <c r="O70" s="489">
        <f t="shared" si="5"/>
        <v>0</v>
      </c>
      <c r="P70" s="464"/>
      <c r="Q70" s="462">
        <f t="shared" si="140"/>
        <v>0</v>
      </c>
      <c r="R70" s="462">
        <f t="shared" si="141"/>
        <v>0</v>
      </c>
      <c r="S70" s="462">
        <f t="shared" si="142"/>
        <v>0</v>
      </c>
      <c r="T70" s="462"/>
      <c r="U70" s="462"/>
      <c r="V70" s="462"/>
      <c r="W70" s="462"/>
      <c r="X70" s="462"/>
      <c r="Y70" s="462"/>
      <c r="Z70" s="462">
        <f t="shared" si="143"/>
        <v>0</v>
      </c>
      <c r="AA70" s="462"/>
      <c r="AB70" s="462"/>
      <c r="AC70" s="462"/>
      <c r="AD70" s="462">
        <f t="shared" si="144"/>
        <v>0</v>
      </c>
      <c r="AE70" s="462">
        <f t="shared" si="145"/>
        <v>0</v>
      </c>
      <c r="AF70" s="462">
        <f t="shared" si="146"/>
        <v>0</v>
      </c>
      <c r="AG70" s="464"/>
      <c r="AH70" s="464"/>
      <c r="AI70" s="464"/>
      <c r="AJ70" s="464"/>
      <c r="AK70" s="464"/>
      <c r="AL70" s="462">
        <f t="shared" si="147"/>
        <v>0</v>
      </c>
      <c r="AM70" s="464"/>
      <c r="AN70" s="464"/>
      <c r="AO70" s="464"/>
      <c r="AP70" s="464"/>
    </row>
    <row r="71" spans="1:42" s="421" customFormat="1">
      <c r="A71" s="431" t="s">
        <v>88</v>
      </c>
      <c r="B71" s="436" t="s">
        <v>445</v>
      </c>
      <c r="C71" s="488">
        <f t="shared" si="137"/>
        <v>401105</v>
      </c>
      <c r="D71" s="488">
        <f t="shared" si="138"/>
        <v>474812</v>
      </c>
      <c r="E71" s="497">
        <f>F71+G71</f>
        <v>364755</v>
      </c>
      <c r="F71" s="497">
        <f>SUM(F72:F78)</f>
        <v>353648</v>
      </c>
      <c r="G71" s="497">
        <f>SUM(G72:G78)</f>
        <v>11107</v>
      </c>
      <c r="H71" s="497">
        <f>I71+J71</f>
        <v>36350</v>
      </c>
      <c r="I71" s="497">
        <f>SUM(I72:I78)</f>
        <v>36350</v>
      </c>
      <c r="J71" s="497">
        <f>SUM(J72:J78)</f>
        <v>0</v>
      </c>
      <c r="K71" s="489">
        <f t="shared" si="2"/>
        <v>0</v>
      </c>
      <c r="L71" s="489">
        <f t="shared" si="3"/>
        <v>0</v>
      </c>
      <c r="M71" s="497">
        <f>SUM(M72:M78)</f>
        <v>0</v>
      </c>
      <c r="N71" s="489">
        <f t="shared" si="4"/>
        <v>110057</v>
      </c>
      <c r="O71" s="489">
        <f t="shared" si="5"/>
        <v>0</v>
      </c>
      <c r="P71" s="497">
        <f>SUM(P72:P78)</f>
        <v>110057</v>
      </c>
      <c r="Q71" s="497">
        <f t="shared" ref="Q71:AP71" si="148">SUM(Q72:Q78)</f>
        <v>0</v>
      </c>
      <c r="R71" s="497">
        <f t="shared" si="148"/>
        <v>0</v>
      </c>
      <c r="S71" s="497">
        <f t="shared" si="148"/>
        <v>0</v>
      </c>
      <c r="T71" s="497">
        <f t="shared" si="148"/>
        <v>0</v>
      </c>
      <c r="U71" s="497">
        <f t="shared" si="148"/>
        <v>0</v>
      </c>
      <c r="V71" s="497">
        <f t="shared" si="148"/>
        <v>0</v>
      </c>
      <c r="W71" s="497">
        <f t="shared" si="148"/>
        <v>0</v>
      </c>
      <c r="X71" s="497">
        <f t="shared" si="148"/>
        <v>0</v>
      </c>
      <c r="Y71" s="497">
        <f t="shared" si="148"/>
        <v>0</v>
      </c>
      <c r="Z71" s="497">
        <f t="shared" si="148"/>
        <v>0</v>
      </c>
      <c r="AA71" s="497">
        <f t="shared" si="148"/>
        <v>0</v>
      </c>
      <c r="AB71" s="497">
        <f t="shared" si="148"/>
        <v>0</v>
      </c>
      <c r="AC71" s="497">
        <f t="shared" si="148"/>
        <v>0</v>
      </c>
      <c r="AD71" s="497">
        <f t="shared" si="148"/>
        <v>-36350</v>
      </c>
      <c r="AE71" s="497">
        <f t="shared" si="148"/>
        <v>0</v>
      </c>
      <c r="AF71" s="497">
        <f t="shared" si="148"/>
        <v>-36350</v>
      </c>
      <c r="AG71" s="497">
        <f t="shared" si="148"/>
        <v>0</v>
      </c>
      <c r="AH71" s="497">
        <f t="shared" si="148"/>
        <v>0</v>
      </c>
      <c r="AI71" s="497">
        <f t="shared" si="148"/>
        <v>0</v>
      </c>
      <c r="AJ71" s="497">
        <f t="shared" si="148"/>
        <v>0</v>
      </c>
      <c r="AK71" s="497">
        <f t="shared" si="148"/>
        <v>0</v>
      </c>
      <c r="AL71" s="497">
        <f t="shared" si="148"/>
        <v>-36350</v>
      </c>
      <c r="AM71" s="497">
        <f t="shared" si="148"/>
        <v>0</v>
      </c>
      <c r="AN71" s="497">
        <f t="shared" si="148"/>
        <v>-36350</v>
      </c>
      <c r="AO71" s="497">
        <f t="shared" si="148"/>
        <v>0</v>
      </c>
      <c r="AP71" s="497">
        <f t="shared" si="148"/>
        <v>0</v>
      </c>
    </row>
    <row r="72" spans="1:42" s="421" customFormat="1" ht="31.5">
      <c r="A72" s="431" t="s">
        <v>433</v>
      </c>
      <c r="B72" s="120" t="s">
        <v>163</v>
      </c>
      <c r="C72" s="488">
        <f t="shared" si="137"/>
        <v>110015</v>
      </c>
      <c r="D72" s="488">
        <f t="shared" si="138"/>
        <v>110015</v>
      </c>
      <c r="E72" s="464">
        <f>F72+G72</f>
        <v>110015</v>
      </c>
      <c r="F72" s="563">
        <v>110015</v>
      </c>
      <c r="G72" s="563">
        <v>0</v>
      </c>
      <c r="H72" s="497">
        <f t="shared" ref="H72:H78" si="149">I72+J72</f>
        <v>0</v>
      </c>
      <c r="I72" s="563"/>
      <c r="J72" s="563"/>
      <c r="K72" s="489">
        <f t="shared" si="2"/>
        <v>0</v>
      </c>
      <c r="L72" s="489">
        <f t="shared" si="3"/>
        <v>0</v>
      </c>
      <c r="M72" s="563"/>
      <c r="N72" s="489">
        <f t="shared" si="4"/>
        <v>0</v>
      </c>
      <c r="O72" s="489">
        <f t="shared" si="5"/>
        <v>0</v>
      </c>
      <c r="P72" s="563"/>
      <c r="Q72" s="462">
        <f t="shared" ref="Q72:Q78" si="150">R72+S72</f>
        <v>0</v>
      </c>
      <c r="R72" s="462">
        <f t="shared" ref="R72:R78" si="151">T72+U72+V72+W72+X72+Y72+AA72</f>
        <v>0</v>
      </c>
      <c r="S72" s="462">
        <f t="shared" ref="S72:S78" si="152">AB72</f>
        <v>0</v>
      </c>
      <c r="T72" s="462"/>
      <c r="U72" s="462"/>
      <c r="V72" s="462"/>
      <c r="W72" s="462"/>
      <c r="X72" s="462"/>
      <c r="Y72" s="462"/>
      <c r="Z72" s="462">
        <f t="shared" ref="Z72:Z78" si="153">AB72+AA72</f>
        <v>0</v>
      </c>
      <c r="AA72" s="462"/>
      <c r="AB72" s="462"/>
      <c r="AC72" s="462"/>
      <c r="AD72" s="462">
        <f t="shared" ref="AD72:AD78" si="154">AE72+AF72</f>
        <v>0</v>
      </c>
      <c r="AE72" s="462">
        <f t="shared" ref="AE72:AE78" si="155">AG72+AH72+AI72+AJ72+AK72+AM72+AO72+AP72</f>
        <v>0</v>
      </c>
      <c r="AF72" s="462">
        <f t="shared" ref="AF72:AF78" si="156">AN72</f>
        <v>0</v>
      </c>
      <c r="AG72" s="563"/>
      <c r="AH72" s="563"/>
      <c r="AI72" s="563"/>
      <c r="AJ72" s="563"/>
      <c r="AK72" s="563"/>
      <c r="AL72" s="462">
        <f t="shared" ref="AL72:AL78" si="157">AM72+AN72</f>
        <v>0</v>
      </c>
      <c r="AM72" s="563"/>
      <c r="AN72" s="563"/>
      <c r="AO72" s="563"/>
      <c r="AP72" s="563"/>
    </row>
    <row r="73" spans="1:42" s="421" customFormat="1" ht="31.5">
      <c r="A73" s="431" t="s">
        <v>433</v>
      </c>
      <c r="B73" s="120" t="s">
        <v>224</v>
      </c>
      <c r="C73" s="488">
        <f t="shared" si="137"/>
        <v>40585</v>
      </c>
      <c r="D73" s="488">
        <f t="shared" si="138"/>
        <v>4235</v>
      </c>
      <c r="E73" s="464">
        <f t="shared" ref="E73:E84" si="158">F73+G73</f>
        <v>4235</v>
      </c>
      <c r="F73" s="563"/>
      <c r="G73" s="563">
        <v>4235</v>
      </c>
      <c r="H73" s="497">
        <f t="shared" si="149"/>
        <v>36350</v>
      </c>
      <c r="I73" s="563">
        <v>36350</v>
      </c>
      <c r="J73" s="563"/>
      <c r="K73" s="489">
        <f t="shared" si="2"/>
        <v>0</v>
      </c>
      <c r="L73" s="489">
        <f>T73+AG73</f>
        <v>0</v>
      </c>
      <c r="M73" s="563"/>
      <c r="N73" s="489">
        <f t="shared" si="4"/>
        <v>0</v>
      </c>
      <c r="O73" s="489">
        <f t="shared" si="5"/>
        <v>0</v>
      </c>
      <c r="P73" s="563"/>
      <c r="Q73" s="462">
        <f t="shared" si="150"/>
        <v>0</v>
      </c>
      <c r="R73" s="462">
        <f t="shared" si="151"/>
        <v>0</v>
      </c>
      <c r="S73" s="462">
        <f t="shared" si="152"/>
        <v>0</v>
      </c>
      <c r="T73" s="462"/>
      <c r="U73" s="462"/>
      <c r="V73" s="462"/>
      <c r="W73" s="462"/>
      <c r="X73" s="462"/>
      <c r="Y73" s="462"/>
      <c r="Z73" s="462">
        <f t="shared" si="153"/>
        <v>0</v>
      </c>
      <c r="AA73" s="462"/>
      <c r="AB73" s="462"/>
      <c r="AC73" s="462"/>
      <c r="AD73" s="462">
        <f t="shared" si="154"/>
        <v>-36350</v>
      </c>
      <c r="AE73" s="462">
        <f t="shared" si="155"/>
        <v>0</v>
      </c>
      <c r="AF73" s="462">
        <f t="shared" si="156"/>
        <v>-36350</v>
      </c>
      <c r="AG73" s="563"/>
      <c r="AH73" s="563"/>
      <c r="AI73" s="563"/>
      <c r="AJ73" s="563"/>
      <c r="AK73" s="563"/>
      <c r="AL73" s="462">
        <f t="shared" si="157"/>
        <v>-36350</v>
      </c>
      <c r="AM73" s="563"/>
      <c r="AN73" s="563">
        <v>-36350</v>
      </c>
      <c r="AO73" s="563"/>
      <c r="AP73" s="563"/>
    </row>
    <row r="74" spans="1:42" s="421" customFormat="1" ht="63">
      <c r="A74" s="431" t="s">
        <v>433</v>
      </c>
      <c r="B74" s="120" t="s">
        <v>319</v>
      </c>
      <c r="C74" s="488">
        <f t="shared" si="137"/>
        <v>212258</v>
      </c>
      <c r="D74" s="488">
        <f t="shared" si="138"/>
        <v>274616</v>
      </c>
      <c r="E74" s="464">
        <f t="shared" si="158"/>
        <v>212258</v>
      </c>
      <c r="F74" s="563">
        <v>212258</v>
      </c>
      <c r="G74" s="563">
        <v>0</v>
      </c>
      <c r="H74" s="497">
        <f t="shared" si="149"/>
        <v>0</v>
      </c>
      <c r="I74" s="564"/>
      <c r="J74" s="564"/>
      <c r="K74" s="489">
        <f t="shared" ref="K74:K141" si="159">L74+M74</f>
        <v>0</v>
      </c>
      <c r="L74" s="489">
        <f t="shared" ref="L74:L141" si="160">T74+AG74</f>
        <v>0</v>
      </c>
      <c r="M74" s="564"/>
      <c r="N74" s="489">
        <f t="shared" ref="N74:N141" si="161">O74+P74</f>
        <v>62358</v>
      </c>
      <c r="O74" s="489">
        <f t="shared" ref="O74:O141" si="162">Y74+AP74</f>
        <v>0</v>
      </c>
      <c r="P74" s="563">
        <f>62358-O74</f>
        <v>62358</v>
      </c>
      <c r="Q74" s="462">
        <f t="shared" si="150"/>
        <v>0</v>
      </c>
      <c r="R74" s="462">
        <f t="shared" si="151"/>
        <v>0</v>
      </c>
      <c r="S74" s="462">
        <f t="shared" si="152"/>
        <v>0</v>
      </c>
      <c r="T74" s="462"/>
      <c r="U74" s="462"/>
      <c r="V74" s="462"/>
      <c r="W74" s="462"/>
      <c r="X74" s="462"/>
      <c r="Y74" s="462"/>
      <c r="Z74" s="462">
        <f t="shared" si="153"/>
        <v>0</v>
      </c>
      <c r="AA74" s="462"/>
      <c r="AB74" s="462"/>
      <c r="AC74" s="462"/>
      <c r="AD74" s="462">
        <f t="shared" si="154"/>
        <v>0</v>
      </c>
      <c r="AE74" s="462">
        <f t="shared" si="155"/>
        <v>0</v>
      </c>
      <c r="AF74" s="462">
        <f t="shared" si="156"/>
        <v>0</v>
      </c>
      <c r="AG74" s="564"/>
      <c r="AH74" s="564"/>
      <c r="AI74" s="564"/>
      <c r="AJ74" s="564"/>
      <c r="AK74" s="564"/>
      <c r="AL74" s="462">
        <f t="shared" si="157"/>
        <v>0</v>
      </c>
      <c r="AM74" s="564"/>
      <c r="AN74" s="564"/>
      <c r="AO74" s="564"/>
      <c r="AP74" s="564"/>
    </row>
    <row r="75" spans="1:42" s="421" customFormat="1" ht="31.5">
      <c r="A75" s="431" t="s">
        <v>433</v>
      </c>
      <c r="B75" s="120" t="s">
        <v>320</v>
      </c>
      <c r="C75" s="488">
        <f t="shared" si="137"/>
        <v>4</v>
      </c>
      <c r="D75" s="488">
        <f t="shared" si="138"/>
        <v>4</v>
      </c>
      <c r="E75" s="464">
        <f t="shared" si="158"/>
        <v>4</v>
      </c>
      <c r="F75" s="563">
        <v>4</v>
      </c>
      <c r="G75" s="563">
        <v>0</v>
      </c>
      <c r="H75" s="497">
        <f t="shared" si="149"/>
        <v>0</v>
      </c>
      <c r="I75" s="564"/>
      <c r="J75" s="564"/>
      <c r="K75" s="489">
        <f t="shared" si="159"/>
        <v>0</v>
      </c>
      <c r="L75" s="489">
        <f t="shared" si="160"/>
        <v>0</v>
      </c>
      <c r="M75" s="564"/>
      <c r="N75" s="489">
        <f t="shared" si="161"/>
        <v>0</v>
      </c>
      <c r="O75" s="489">
        <f t="shared" si="162"/>
        <v>0</v>
      </c>
      <c r="P75" s="564"/>
      <c r="Q75" s="462">
        <f t="shared" si="150"/>
        <v>0</v>
      </c>
      <c r="R75" s="462">
        <f t="shared" si="151"/>
        <v>0</v>
      </c>
      <c r="S75" s="462">
        <f t="shared" si="152"/>
        <v>0</v>
      </c>
      <c r="T75" s="462"/>
      <c r="U75" s="462"/>
      <c r="V75" s="462"/>
      <c r="W75" s="462"/>
      <c r="X75" s="462"/>
      <c r="Y75" s="462"/>
      <c r="Z75" s="462">
        <f t="shared" si="153"/>
        <v>0</v>
      </c>
      <c r="AA75" s="462"/>
      <c r="AB75" s="462"/>
      <c r="AC75" s="462"/>
      <c r="AD75" s="462">
        <f t="shared" si="154"/>
        <v>0</v>
      </c>
      <c r="AE75" s="462">
        <f t="shared" si="155"/>
        <v>0</v>
      </c>
      <c r="AF75" s="462">
        <f t="shared" si="156"/>
        <v>0</v>
      </c>
      <c r="AG75" s="564"/>
      <c r="AH75" s="564"/>
      <c r="AI75" s="564"/>
      <c r="AJ75" s="564"/>
      <c r="AK75" s="564"/>
      <c r="AL75" s="462">
        <f t="shared" si="157"/>
        <v>0</v>
      </c>
      <c r="AM75" s="564"/>
      <c r="AN75" s="564"/>
      <c r="AO75" s="564"/>
      <c r="AP75" s="564"/>
    </row>
    <row r="76" spans="1:42" s="421" customFormat="1" ht="31.5">
      <c r="A76" s="431" t="s">
        <v>433</v>
      </c>
      <c r="B76" s="120" t="s">
        <v>526</v>
      </c>
      <c r="C76" s="488">
        <f t="shared" ref="C76" si="163">E76+H76</f>
        <v>0</v>
      </c>
      <c r="D76" s="488">
        <f t="shared" si="138"/>
        <v>16328</v>
      </c>
      <c r="E76" s="464">
        <f t="shared" ref="E76" si="164">F76+G76</f>
        <v>0</v>
      </c>
      <c r="F76" s="563"/>
      <c r="G76" s="563">
        <v>0</v>
      </c>
      <c r="H76" s="497">
        <f t="shared" ref="H76" si="165">I76+J76</f>
        <v>0</v>
      </c>
      <c r="I76" s="564"/>
      <c r="J76" s="564"/>
      <c r="K76" s="489">
        <f t="shared" ref="K76" si="166">L76+M76</f>
        <v>0</v>
      </c>
      <c r="L76" s="489">
        <f t="shared" ref="L76" si="167">T76+AG76</f>
        <v>0</v>
      </c>
      <c r="M76" s="564"/>
      <c r="N76" s="489">
        <f t="shared" ref="N76" si="168">O76+P76</f>
        <v>16328</v>
      </c>
      <c r="O76" s="489">
        <f t="shared" ref="O76" si="169">Y76+AP76</f>
        <v>0</v>
      </c>
      <c r="P76" s="563">
        <f>16328-O76</f>
        <v>16328</v>
      </c>
      <c r="Q76" s="462">
        <f t="shared" ref="Q76" si="170">R76+S76</f>
        <v>0</v>
      </c>
      <c r="R76" s="462">
        <f t="shared" ref="R76" si="171">T76+U76+V76+W76+X76+Y76+AA76</f>
        <v>0</v>
      </c>
      <c r="S76" s="462">
        <f t="shared" ref="S76" si="172">AB76</f>
        <v>0</v>
      </c>
      <c r="T76" s="462"/>
      <c r="U76" s="462"/>
      <c r="V76" s="462"/>
      <c r="W76" s="462"/>
      <c r="X76" s="462"/>
      <c r="Y76" s="462"/>
      <c r="Z76" s="462">
        <f t="shared" ref="Z76" si="173">AB76+AA76</f>
        <v>0</v>
      </c>
      <c r="AA76" s="462"/>
      <c r="AB76" s="462"/>
      <c r="AC76" s="462"/>
      <c r="AD76" s="462">
        <f t="shared" ref="AD76" si="174">AE76+AF76</f>
        <v>0</v>
      </c>
      <c r="AE76" s="462">
        <f t="shared" ref="AE76" si="175">AG76+AH76+AI76+AJ76+AK76+AM76+AO76+AP76</f>
        <v>0</v>
      </c>
      <c r="AF76" s="462">
        <f t="shared" ref="AF76" si="176">AN76</f>
        <v>0</v>
      </c>
      <c r="AG76" s="564"/>
      <c r="AH76" s="564"/>
      <c r="AI76" s="564"/>
      <c r="AJ76" s="564"/>
      <c r="AK76" s="564"/>
      <c r="AL76" s="462">
        <f t="shared" ref="AL76" si="177">AM76+AN76</f>
        <v>0</v>
      </c>
      <c r="AM76" s="564"/>
      <c r="AN76" s="564"/>
      <c r="AO76" s="564"/>
      <c r="AP76" s="564"/>
    </row>
    <row r="77" spans="1:42" s="421" customFormat="1" ht="31.5">
      <c r="A77" s="431" t="s">
        <v>433</v>
      </c>
      <c r="B77" s="120" t="s">
        <v>165</v>
      </c>
      <c r="C77" s="488">
        <f t="shared" si="137"/>
        <v>31371</v>
      </c>
      <c r="D77" s="488">
        <f t="shared" si="138"/>
        <v>62742</v>
      </c>
      <c r="E77" s="464">
        <f t="shared" si="158"/>
        <v>31371</v>
      </c>
      <c r="F77" s="563">
        <v>31371</v>
      </c>
      <c r="G77" s="563">
        <v>0</v>
      </c>
      <c r="H77" s="497">
        <f t="shared" si="149"/>
        <v>0</v>
      </c>
      <c r="I77" s="564"/>
      <c r="J77" s="564"/>
      <c r="K77" s="489">
        <f t="shared" si="159"/>
        <v>0</v>
      </c>
      <c r="L77" s="489">
        <f t="shared" si="160"/>
        <v>0</v>
      </c>
      <c r="M77" s="564"/>
      <c r="N77" s="489">
        <f t="shared" si="161"/>
        <v>31371</v>
      </c>
      <c r="O77" s="489">
        <f t="shared" si="162"/>
        <v>0</v>
      </c>
      <c r="P77" s="563">
        <f>31371-O77</f>
        <v>31371</v>
      </c>
      <c r="Q77" s="462">
        <f t="shared" si="150"/>
        <v>0</v>
      </c>
      <c r="R77" s="462">
        <f t="shared" si="151"/>
        <v>0</v>
      </c>
      <c r="S77" s="462">
        <f t="shared" si="152"/>
        <v>0</v>
      </c>
      <c r="T77" s="462"/>
      <c r="U77" s="462"/>
      <c r="V77" s="462"/>
      <c r="W77" s="462"/>
      <c r="X77" s="462"/>
      <c r="Y77" s="462"/>
      <c r="Z77" s="462">
        <f t="shared" si="153"/>
        <v>0</v>
      </c>
      <c r="AA77" s="462"/>
      <c r="AB77" s="462"/>
      <c r="AC77" s="462"/>
      <c r="AD77" s="462">
        <f t="shared" si="154"/>
        <v>0</v>
      </c>
      <c r="AE77" s="462">
        <f t="shared" si="155"/>
        <v>0</v>
      </c>
      <c r="AF77" s="462">
        <f t="shared" si="156"/>
        <v>0</v>
      </c>
      <c r="AG77" s="564"/>
      <c r="AH77" s="564"/>
      <c r="AI77" s="564"/>
      <c r="AJ77" s="564"/>
      <c r="AK77" s="564"/>
      <c r="AL77" s="462">
        <f t="shared" si="157"/>
        <v>0</v>
      </c>
      <c r="AM77" s="564"/>
      <c r="AN77" s="564"/>
      <c r="AO77" s="564"/>
      <c r="AP77" s="564"/>
    </row>
    <row r="78" spans="1:42" s="421" customFormat="1" ht="63">
      <c r="A78" s="431" t="s">
        <v>433</v>
      </c>
      <c r="B78" s="120" t="s">
        <v>226</v>
      </c>
      <c r="C78" s="488">
        <f t="shared" si="137"/>
        <v>6872</v>
      </c>
      <c r="D78" s="488">
        <f t="shared" si="138"/>
        <v>6872</v>
      </c>
      <c r="E78" s="464">
        <f t="shared" si="158"/>
        <v>6872</v>
      </c>
      <c r="F78" s="563"/>
      <c r="G78" s="563">
        <v>6872</v>
      </c>
      <c r="H78" s="497">
        <f t="shared" si="149"/>
        <v>0</v>
      </c>
      <c r="I78" s="564"/>
      <c r="J78" s="564"/>
      <c r="K78" s="489">
        <f t="shared" si="159"/>
        <v>0</v>
      </c>
      <c r="L78" s="489">
        <f t="shared" si="160"/>
        <v>0</v>
      </c>
      <c r="M78" s="564"/>
      <c r="N78" s="489">
        <f t="shared" si="161"/>
        <v>0</v>
      </c>
      <c r="O78" s="489">
        <f t="shared" si="162"/>
        <v>0</v>
      </c>
      <c r="P78" s="564"/>
      <c r="Q78" s="462">
        <f t="shared" si="150"/>
        <v>0</v>
      </c>
      <c r="R78" s="462">
        <f t="shared" si="151"/>
        <v>0</v>
      </c>
      <c r="S78" s="462">
        <f t="shared" si="152"/>
        <v>0</v>
      </c>
      <c r="T78" s="462"/>
      <c r="U78" s="462"/>
      <c r="V78" s="462"/>
      <c r="W78" s="462"/>
      <c r="X78" s="462"/>
      <c r="Y78" s="462"/>
      <c r="Z78" s="462">
        <f t="shared" si="153"/>
        <v>0</v>
      </c>
      <c r="AA78" s="462"/>
      <c r="AB78" s="462"/>
      <c r="AC78" s="462"/>
      <c r="AD78" s="462">
        <f t="shared" si="154"/>
        <v>0</v>
      </c>
      <c r="AE78" s="462">
        <f t="shared" si="155"/>
        <v>0</v>
      </c>
      <c r="AF78" s="462">
        <f t="shared" si="156"/>
        <v>0</v>
      </c>
      <c r="AG78" s="564"/>
      <c r="AH78" s="564"/>
      <c r="AI78" s="564"/>
      <c r="AJ78" s="564"/>
      <c r="AK78" s="564"/>
      <c r="AL78" s="462">
        <f t="shared" si="157"/>
        <v>0</v>
      </c>
      <c r="AM78" s="564"/>
      <c r="AN78" s="564"/>
      <c r="AO78" s="564"/>
      <c r="AP78" s="564"/>
    </row>
    <row r="79" spans="1:42" s="421" customFormat="1">
      <c r="A79" s="431" t="s">
        <v>179</v>
      </c>
      <c r="B79" s="480" t="s">
        <v>402</v>
      </c>
      <c r="C79" s="488">
        <f t="shared" si="137"/>
        <v>92874</v>
      </c>
      <c r="D79" s="488">
        <f t="shared" si="138"/>
        <v>105874</v>
      </c>
      <c r="E79" s="464">
        <f>F79+G79</f>
        <v>92874</v>
      </c>
      <c r="F79" s="497">
        <f>SUM(F80:F82)</f>
        <v>0</v>
      </c>
      <c r="G79" s="497">
        <f>SUM(G80:G82)</f>
        <v>92874</v>
      </c>
      <c r="H79" s="497">
        <f t="shared" si="58"/>
        <v>0</v>
      </c>
      <c r="I79" s="497">
        <f>SUM(I80:I82)</f>
        <v>0</v>
      </c>
      <c r="J79" s="497">
        <f>SUM(J80:J82)</f>
        <v>0</v>
      </c>
      <c r="K79" s="489">
        <f t="shared" si="159"/>
        <v>0</v>
      </c>
      <c r="L79" s="489">
        <f t="shared" si="160"/>
        <v>0</v>
      </c>
      <c r="M79" s="497">
        <f>SUM(M80:M82)</f>
        <v>0</v>
      </c>
      <c r="N79" s="489">
        <f t="shared" si="161"/>
        <v>13000</v>
      </c>
      <c r="O79" s="489">
        <f t="shared" si="162"/>
        <v>0</v>
      </c>
      <c r="P79" s="497">
        <f>SUM(P80:P82)</f>
        <v>13000</v>
      </c>
      <c r="Q79" s="497">
        <f t="shared" ref="Q79:AP79" si="178">SUM(Q80:Q82)</f>
        <v>0</v>
      </c>
      <c r="R79" s="497">
        <f t="shared" si="178"/>
        <v>0</v>
      </c>
      <c r="S79" s="497">
        <f t="shared" si="178"/>
        <v>0</v>
      </c>
      <c r="T79" s="497">
        <f t="shared" si="178"/>
        <v>0</v>
      </c>
      <c r="U79" s="497">
        <f t="shared" si="178"/>
        <v>0</v>
      </c>
      <c r="V79" s="497">
        <f t="shared" si="178"/>
        <v>0</v>
      </c>
      <c r="W79" s="497">
        <f t="shared" si="178"/>
        <v>0</v>
      </c>
      <c r="X79" s="497">
        <f t="shared" si="178"/>
        <v>0</v>
      </c>
      <c r="Y79" s="497">
        <f t="shared" si="178"/>
        <v>0</v>
      </c>
      <c r="Z79" s="497">
        <f t="shared" si="178"/>
        <v>0</v>
      </c>
      <c r="AA79" s="497">
        <f t="shared" si="178"/>
        <v>0</v>
      </c>
      <c r="AB79" s="497">
        <f t="shared" si="178"/>
        <v>0</v>
      </c>
      <c r="AC79" s="497">
        <f t="shared" si="178"/>
        <v>0</v>
      </c>
      <c r="AD79" s="497">
        <f t="shared" si="178"/>
        <v>0</v>
      </c>
      <c r="AE79" s="497">
        <f t="shared" si="178"/>
        <v>0</v>
      </c>
      <c r="AF79" s="497">
        <f t="shared" si="178"/>
        <v>0</v>
      </c>
      <c r="AG79" s="497">
        <f t="shared" si="178"/>
        <v>0</v>
      </c>
      <c r="AH79" s="497">
        <f t="shared" si="178"/>
        <v>0</v>
      </c>
      <c r="AI79" s="497">
        <f t="shared" si="178"/>
        <v>0</v>
      </c>
      <c r="AJ79" s="497">
        <f t="shared" si="178"/>
        <v>0</v>
      </c>
      <c r="AK79" s="497">
        <f t="shared" si="178"/>
        <v>0</v>
      </c>
      <c r="AL79" s="497">
        <f t="shared" si="178"/>
        <v>0</v>
      </c>
      <c r="AM79" s="497">
        <f t="shared" si="178"/>
        <v>0</v>
      </c>
      <c r="AN79" s="497">
        <f t="shared" si="178"/>
        <v>0</v>
      </c>
      <c r="AO79" s="497">
        <f t="shared" si="178"/>
        <v>0</v>
      </c>
      <c r="AP79" s="497">
        <f t="shared" si="178"/>
        <v>0</v>
      </c>
    </row>
    <row r="80" spans="1:42" s="421" customFormat="1">
      <c r="A80" s="431" t="s">
        <v>433</v>
      </c>
      <c r="B80" s="435" t="s">
        <v>446</v>
      </c>
      <c r="C80" s="488">
        <f t="shared" si="137"/>
        <v>5490</v>
      </c>
      <c r="D80" s="488">
        <f t="shared" si="138"/>
        <v>5490</v>
      </c>
      <c r="E80" s="464">
        <f t="shared" si="158"/>
        <v>5490</v>
      </c>
      <c r="F80" s="497"/>
      <c r="G80" s="497">
        <v>5490</v>
      </c>
      <c r="H80" s="497"/>
      <c r="I80" s="497"/>
      <c r="J80" s="497"/>
      <c r="K80" s="489">
        <f t="shared" si="159"/>
        <v>0</v>
      </c>
      <c r="L80" s="489">
        <f t="shared" si="160"/>
        <v>0</v>
      </c>
      <c r="M80" s="497"/>
      <c r="N80" s="489">
        <f t="shared" si="161"/>
        <v>0</v>
      </c>
      <c r="O80" s="489">
        <f t="shared" si="162"/>
        <v>0</v>
      </c>
      <c r="P80" s="497"/>
      <c r="Q80" s="462">
        <f t="shared" ref="Q80:Q84" si="179">R80+S80</f>
        <v>0</v>
      </c>
      <c r="R80" s="462">
        <f t="shared" ref="R80:R84" si="180">T80+U80+V80+W80+X80+Y80+AA80</f>
        <v>0</v>
      </c>
      <c r="S80" s="462">
        <f t="shared" ref="S80:S84" si="181">AB80</f>
        <v>0</v>
      </c>
      <c r="T80" s="462"/>
      <c r="U80" s="462"/>
      <c r="V80" s="462"/>
      <c r="W80" s="462"/>
      <c r="X80" s="462"/>
      <c r="Y80" s="462"/>
      <c r="Z80" s="462">
        <f t="shared" ref="Z80:Z84" si="182">AB80+AA80</f>
        <v>0</v>
      </c>
      <c r="AA80" s="462"/>
      <c r="AB80" s="462"/>
      <c r="AC80" s="462"/>
      <c r="AD80" s="462">
        <f t="shared" ref="AD80:AD84" si="183">AE80+AF80</f>
        <v>0</v>
      </c>
      <c r="AE80" s="462">
        <f t="shared" ref="AE80:AE84" si="184">AG80+AH80+AI80+AJ80+AK80+AM80+AO80+AP80</f>
        <v>0</v>
      </c>
      <c r="AF80" s="462">
        <f t="shared" ref="AF80:AF84" si="185">AN80</f>
        <v>0</v>
      </c>
      <c r="AG80" s="497"/>
      <c r="AH80" s="497"/>
      <c r="AI80" s="497"/>
      <c r="AJ80" s="497"/>
      <c r="AK80" s="497"/>
      <c r="AL80" s="462">
        <f t="shared" ref="AL80:AL84" si="186">AM80+AN80</f>
        <v>0</v>
      </c>
      <c r="AM80" s="497"/>
      <c r="AN80" s="497"/>
      <c r="AO80" s="497"/>
      <c r="AP80" s="497"/>
    </row>
    <row r="81" spans="1:42" s="421" customFormat="1">
      <c r="A81" s="431" t="s">
        <v>433</v>
      </c>
      <c r="B81" s="435" t="s">
        <v>465</v>
      </c>
      <c r="C81" s="488">
        <f t="shared" si="137"/>
        <v>47580</v>
      </c>
      <c r="D81" s="488">
        <f t="shared" si="138"/>
        <v>60580</v>
      </c>
      <c r="E81" s="464">
        <f>F81+G81</f>
        <v>47580</v>
      </c>
      <c r="F81" s="497"/>
      <c r="G81" s="497">
        <v>47580</v>
      </c>
      <c r="H81" s="497"/>
      <c r="I81" s="497"/>
      <c r="J81" s="497"/>
      <c r="K81" s="489">
        <f t="shared" si="159"/>
        <v>0</v>
      </c>
      <c r="L81" s="489">
        <f t="shared" si="160"/>
        <v>0</v>
      </c>
      <c r="M81" s="497"/>
      <c r="N81" s="489">
        <f t="shared" si="161"/>
        <v>13000</v>
      </c>
      <c r="O81" s="489">
        <f t="shared" si="162"/>
        <v>0</v>
      </c>
      <c r="P81" s="497">
        <f>13000-O81</f>
        <v>13000</v>
      </c>
      <c r="Q81" s="462">
        <f t="shared" si="179"/>
        <v>0</v>
      </c>
      <c r="R81" s="462">
        <f t="shared" si="180"/>
        <v>0</v>
      </c>
      <c r="S81" s="462">
        <f t="shared" si="181"/>
        <v>0</v>
      </c>
      <c r="T81" s="462"/>
      <c r="U81" s="462"/>
      <c r="V81" s="462"/>
      <c r="W81" s="462"/>
      <c r="X81" s="462"/>
      <c r="Y81" s="462"/>
      <c r="Z81" s="462">
        <f t="shared" si="182"/>
        <v>0</v>
      </c>
      <c r="AA81" s="462"/>
      <c r="AB81" s="462"/>
      <c r="AC81" s="462"/>
      <c r="AD81" s="462">
        <f t="shared" si="183"/>
        <v>0</v>
      </c>
      <c r="AE81" s="462">
        <f t="shared" si="184"/>
        <v>0</v>
      </c>
      <c r="AF81" s="462">
        <f t="shared" si="185"/>
        <v>0</v>
      </c>
      <c r="AG81" s="497"/>
      <c r="AH81" s="497"/>
      <c r="AI81" s="497"/>
      <c r="AJ81" s="497"/>
      <c r="AK81" s="497"/>
      <c r="AL81" s="462">
        <f t="shared" si="186"/>
        <v>0</v>
      </c>
      <c r="AM81" s="497"/>
      <c r="AN81" s="497"/>
      <c r="AO81" s="497"/>
      <c r="AP81" s="497"/>
    </row>
    <row r="82" spans="1:42" s="421" customFormat="1">
      <c r="A82" s="431" t="s">
        <v>433</v>
      </c>
      <c r="B82" s="435" t="s">
        <v>402</v>
      </c>
      <c r="C82" s="488">
        <f t="shared" si="137"/>
        <v>39804</v>
      </c>
      <c r="D82" s="488">
        <f t="shared" si="138"/>
        <v>39804</v>
      </c>
      <c r="E82" s="464">
        <f t="shared" si="158"/>
        <v>39804</v>
      </c>
      <c r="F82" s="497"/>
      <c r="G82" s="497">
        <v>39804</v>
      </c>
      <c r="H82" s="497"/>
      <c r="I82" s="497"/>
      <c r="J82" s="497"/>
      <c r="K82" s="489">
        <f t="shared" si="159"/>
        <v>0</v>
      </c>
      <c r="L82" s="489">
        <f t="shared" si="160"/>
        <v>0</v>
      </c>
      <c r="M82" s="497"/>
      <c r="N82" s="489">
        <f t="shared" si="161"/>
        <v>0</v>
      </c>
      <c r="O82" s="489">
        <f t="shared" si="162"/>
        <v>0</v>
      </c>
      <c r="P82" s="497"/>
      <c r="Q82" s="462">
        <f t="shared" si="179"/>
        <v>0</v>
      </c>
      <c r="R82" s="462">
        <f t="shared" si="180"/>
        <v>0</v>
      </c>
      <c r="S82" s="462">
        <f t="shared" si="181"/>
        <v>0</v>
      </c>
      <c r="T82" s="462"/>
      <c r="U82" s="462"/>
      <c r="V82" s="462"/>
      <c r="W82" s="462"/>
      <c r="X82" s="462"/>
      <c r="Y82" s="462"/>
      <c r="Z82" s="462">
        <f t="shared" si="182"/>
        <v>0</v>
      </c>
      <c r="AA82" s="462"/>
      <c r="AB82" s="462"/>
      <c r="AC82" s="462"/>
      <c r="AD82" s="462">
        <f t="shared" si="183"/>
        <v>0</v>
      </c>
      <c r="AE82" s="462">
        <f t="shared" si="184"/>
        <v>0</v>
      </c>
      <c r="AF82" s="462">
        <f t="shared" si="185"/>
        <v>0</v>
      </c>
      <c r="AG82" s="497"/>
      <c r="AH82" s="497"/>
      <c r="AI82" s="497"/>
      <c r="AJ82" s="497"/>
      <c r="AK82" s="497"/>
      <c r="AL82" s="462">
        <f t="shared" si="186"/>
        <v>0</v>
      </c>
      <c r="AM82" s="497"/>
      <c r="AN82" s="497"/>
      <c r="AO82" s="497"/>
      <c r="AP82" s="497"/>
    </row>
    <row r="83" spans="1:42" s="421" customFormat="1">
      <c r="A83" s="431"/>
      <c r="B83" s="435" t="s">
        <v>451</v>
      </c>
      <c r="C83" s="488">
        <f t="shared" si="137"/>
        <v>10000</v>
      </c>
      <c r="D83" s="488">
        <f t="shared" si="138"/>
        <v>10000</v>
      </c>
      <c r="E83" s="464">
        <f>F83+G83</f>
        <v>10000</v>
      </c>
      <c r="F83" s="497"/>
      <c r="G83" s="497">
        <v>10000</v>
      </c>
      <c r="H83" s="497"/>
      <c r="I83" s="497"/>
      <c r="J83" s="497"/>
      <c r="K83" s="489">
        <f t="shared" si="159"/>
        <v>0</v>
      </c>
      <c r="L83" s="489">
        <f t="shared" si="160"/>
        <v>0</v>
      </c>
      <c r="M83" s="497"/>
      <c r="N83" s="489">
        <f t="shared" si="161"/>
        <v>0</v>
      </c>
      <c r="O83" s="489">
        <f t="shared" si="162"/>
        <v>0</v>
      </c>
      <c r="P83" s="497"/>
      <c r="Q83" s="462">
        <f t="shared" si="179"/>
        <v>0</v>
      </c>
      <c r="R83" s="462">
        <f t="shared" si="180"/>
        <v>0</v>
      </c>
      <c r="S83" s="462">
        <f t="shared" si="181"/>
        <v>0</v>
      </c>
      <c r="T83" s="462"/>
      <c r="U83" s="462"/>
      <c r="V83" s="462"/>
      <c r="W83" s="462"/>
      <c r="X83" s="462"/>
      <c r="Y83" s="462"/>
      <c r="Z83" s="462">
        <f t="shared" si="182"/>
        <v>0</v>
      </c>
      <c r="AA83" s="462"/>
      <c r="AB83" s="462"/>
      <c r="AC83" s="462"/>
      <c r="AD83" s="462">
        <f t="shared" si="183"/>
        <v>0</v>
      </c>
      <c r="AE83" s="462">
        <f t="shared" si="184"/>
        <v>0</v>
      </c>
      <c r="AF83" s="462">
        <f t="shared" si="185"/>
        <v>0</v>
      </c>
      <c r="AG83" s="497"/>
      <c r="AH83" s="497"/>
      <c r="AI83" s="497"/>
      <c r="AJ83" s="497"/>
      <c r="AK83" s="497"/>
      <c r="AL83" s="462">
        <f t="shared" si="186"/>
        <v>0</v>
      </c>
      <c r="AM83" s="497"/>
      <c r="AN83" s="497"/>
      <c r="AO83" s="497"/>
      <c r="AP83" s="497"/>
    </row>
    <row r="84" spans="1:42" s="422" customFormat="1">
      <c r="A84" s="432"/>
      <c r="B84" s="439" t="s">
        <v>444</v>
      </c>
      <c r="C84" s="488">
        <f t="shared" si="137"/>
        <v>3980.4</v>
      </c>
      <c r="D84" s="488">
        <f t="shared" si="138"/>
        <v>3980.4</v>
      </c>
      <c r="E84" s="464">
        <f t="shared" si="158"/>
        <v>3980.4</v>
      </c>
      <c r="F84" s="464"/>
      <c r="G84" s="464">
        <f>G82*10%</f>
        <v>3980.4</v>
      </c>
      <c r="H84" s="464">
        <f t="shared" si="58"/>
        <v>0</v>
      </c>
      <c r="I84" s="464"/>
      <c r="J84" s="464"/>
      <c r="K84" s="489">
        <f t="shared" si="159"/>
        <v>0</v>
      </c>
      <c r="L84" s="489">
        <f t="shared" si="160"/>
        <v>0</v>
      </c>
      <c r="M84" s="464"/>
      <c r="N84" s="489">
        <f t="shared" si="161"/>
        <v>0</v>
      </c>
      <c r="O84" s="489">
        <f t="shared" si="162"/>
        <v>0</v>
      </c>
      <c r="P84" s="464"/>
      <c r="Q84" s="462">
        <f t="shared" si="179"/>
        <v>0</v>
      </c>
      <c r="R84" s="462">
        <f t="shared" si="180"/>
        <v>0</v>
      </c>
      <c r="S84" s="462">
        <f t="shared" si="181"/>
        <v>0</v>
      </c>
      <c r="T84" s="462"/>
      <c r="U84" s="462"/>
      <c r="V84" s="462"/>
      <c r="W84" s="462"/>
      <c r="X84" s="462"/>
      <c r="Y84" s="462"/>
      <c r="Z84" s="462">
        <f t="shared" si="182"/>
        <v>0</v>
      </c>
      <c r="AA84" s="462"/>
      <c r="AB84" s="462"/>
      <c r="AC84" s="462"/>
      <c r="AD84" s="462">
        <f t="shared" si="183"/>
        <v>0</v>
      </c>
      <c r="AE84" s="462">
        <f t="shared" si="184"/>
        <v>0</v>
      </c>
      <c r="AF84" s="462">
        <f t="shared" si="185"/>
        <v>0</v>
      </c>
      <c r="AG84" s="464"/>
      <c r="AH84" s="464"/>
      <c r="AI84" s="464"/>
      <c r="AJ84" s="464"/>
      <c r="AK84" s="464"/>
      <c r="AL84" s="462">
        <f t="shared" si="186"/>
        <v>0</v>
      </c>
      <c r="AM84" s="464"/>
      <c r="AN84" s="464"/>
      <c r="AO84" s="464"/>
      <c r="AP84" s="464"/>
    </row>
    <row r="85" spans="1:42" s="434" customFormat="1">
      <c r="A85" s="561">
        <v>5</v>
      </c>
      <c r="B85" s="433" t="s">
        <v>390</v>
      </c>
      <c r="C85" s="489">
        <f>C86+C87</f>
        <v>40290</v>
      </c>
      <c r="D85" s="489">
        <f>D86+D87</f>
        <v>37740</v>
      </c>
      <c r="E85" s="495">
        <f>F85+G85</f>
        <v>37740</v>
      </c>
      <c r="F85" s="495">
        <f>F86+F87</f>
        <v>36915</v>
      </c>
      <c r="G85" s="495">
        <f>G86+G87</f>
        <v>825</v>
      </c>
      <c r="H85" s="495">
        <f>I85+J85</f>
        <v>2550</v>
      </c>
      <c r="I85" s="495">
        <f>I86+I87</f>
        <v>2550</v>
      </c>
      <c r="J85" s="495">
        <f>J86+J87</f>
        <v>0</v>
      </c>
      <c r="K85" s="489">
        <f t="shared" si="159"/>
        <v>0</v>
      </c>
      <c r="L85" s="489">
        <f t="shared" si="160"/>
        <v>0</v>
      </c>
      <c r="M85" s="495">
        <f>M86+M87</f>
        <v>0</v>
      </c>
      <c r="N85" s="489">
        <f t="shared" si="161"/>
        <v>0</v>
      </c>
      <c r="O85" s="489">
        <f t="shared" si="162"/>
        <v>0</v>
      </c>
      <c r="P85" s="495">
        <f>P86+P87</f>
        <v>0</v>
      </c>
      <c r="Q85" s="495">
        <f t="shared" ref="Q85:AP85" si="187">Q86+Q87</f>
        <v>0</v>
      </c>
      <c r="R85" s="495">
        <f t="shared" si="187"/>
        <v>0</v>
      </c>
      <c r="S85" s="495">
        <f t="shared" si="187"/>
        <v>0</v>
      </c>
      <c r="T85" s="495">
        <f t="shared" si="187"/>
        <v>0</v>
      </c>
      <c r="U85" s="495">
        <f t="shared" si="187"/>
        <v>0</v>
      </c>
      <c r="V85" s="495">
        <f t="shared" si="187"/>
        <v>0</v>
      </c>
      <c r="W85" s="495">
        <f t="shared" si="187"/>
        <v>0</v>
      </c>
      <c r="X85" s="495">
        <f t="shared" si="187"/>
        <v>0</v>
      </c>
      <c r="Y85" s="495">
        <f t="shared" si="187"/>
        <v>0</v>
      </c>
      <c r="Z85" s="495">
        <f t="shared" si="187"/>
        <v>0</v>
      </c>
      <c r="AA85" s="495">
        <f t="shared" si="187"/>
        <v>0</v>
      </c>
      <c r="AB85" s="495">
        <f t="shared" si="187"/>
        <v>0</v>
      </c>
      <c r="AC85" s="495">
        <f t="shared" si="187"/>
        <v>0</v>
      </c>
      <c r="AD85" s="495">
        <f t="shared" si="187"/>
        <v>-2550</v>
      </c>
      <c r="AE85" s="495">
        <f t="shared" si="187"/>
        <v>0</v>
      </c>
      <c r="AF85" s="495">
        <f t="shared" si="187"/>
        <v>-2550</v>
      </c>
      <c r="AG85" s="495">
        <f t="shared" si="187"/>
        <v>0</v>
      </c>
      <c r="AH85" s="495">
        <f t="shared" si="187"/>
        <v>0</v>
      </c>
      <c r="AI85" s="495">
        <f t="shared" si="187"/>
        <v>0</v>
      </c>
      <c r="AJ85" s="495">
        <f t="shared" si="187"/>
        <v>0</v>
      </c>
      <c r="AK85" s="495">
        <f t="shared" si="187"/>
        <v>0</v>
      </c>
      <c r="AL85" s="495">
        <f t="shared" si="187"/>
        <v>-2550</v>
      </c>
      <c r="AM85" s="495">
        <f t="shared" si="187"/>
        <v>0</v>
      </c>
      <c r="AN85" s="495">
        <f t="shared" si="187"/>
        <v>-2550</v>
      </c>
      <c r="AO85" s="495">
        <f t="shared" si="187"/>
        <v>0</v>
      </c>
      <c r="AP85" s="495">
        <f t="shared" si="187"/>
        <v>0</v>
      </c>
    </row>
    <row r="86" spans="1:42">
      <c r="A86" s="431" t="s">
        <v>93</v>
      </c>
      <c r="B86" s="435" t="s">
        <v>401</v>
      </c>
      <c r="C86" s="488">
        <f t="shared" ref="C86:C88" si="188">E86+H86</f>
        <v>39465</v>
      </c>
      <c r="D86" s="488">
        <f t="shared" ref="D86:D88" si="189">E86+H86+M86+P86+Q86+AD86</f>
        <v>36915</v>
      </c>
      <c r="E86" s="462">
        <f t="shared" si="57"/>
        <v>36915</v>
      </c>
      <c r="F86" s="462">
        <f>35493+1422</f>
        <v>36915</v>
      </c>
      <c r="G86" s="462"/>
      <c r="H86" s="462">
        <f t="shared" si="58"/>
        <v>2550</v>
      </c>
      <c r="I86" s="462">
        <v>2550</v>
      </c>
      <c r="J86" s="462"/>
      <c r="K86" s="489">
        <f t="shared" si="159"/>
        <v>0</v>
      </c>
      <c r="L86" s="489">
        <f t="shared" si="160"/>
        <v>0</v>
      </c>
      <c r="M86" s="462"/>
      <c r="N86" s="489">
        <f t="shared" si="161"/>
        <v>0</v>
      </c>
      <c r="O86" s="489">
        <f t="shared" si="162"/>
        <v>0</v>
      </c>
      <c r="P86" s="462"/>
      <c r="Q86" s="462">
        <f t="shared" ref="Q86:Q88" si="190">R86+S86</f>
        <v>0</v>
      </c>
      <c r="R86" s="462">
        <f t="shared" ref="R86:R88" si="191">T86+U86+V86+W86+X86+Y86+AA86</f>
        <v>0</v>
      </c>
      <c r="S86" s="462">
        <f t="shared" ref="S86:S88" si="192">AB86</f>
        <v>0</v>
      </c>
      <c r="T86" s="462"/>
      <c r="U86" s="462"/>
      <c r="V86" s="462"/>
      <c r="W86" s="462"/>
      <c r="X86" s="462"/>
      <c r="Y86" s="462"/>
      <c r="Z86" s="462">
        <f t="shared" ref="Z86:Z88" si="193">AB86+AA86</f>
        <v>0</v>
      </c>
      <c r="AA86" s="462"/>
      <c r="AB86" s="462"/>
      <c r="AC86" s="462"/>
      <c r="AD86" s="462">
        <f t="shared" ref="AD86:AD88" si="194">AE86+AF86</f>
        <v>-2550</v>
      </c>
      <c r="AE86" s="462">
        <f t="shared" ref="AE86:AE88" si="195">AG86+AH86+AI86+AJ86+AK86+AM86+AO86+AP86</f>
        <v>0</v>
      </c>
      <c r="AF86" s="462">
        <f t="shared" ref="AF86:AF88" si="196">AN86</f>
        <v>-2550</v>
      </c>
      <c r="AG86" s="462"/>
      <c r="AH86" s="462"/>
      <c r="AI86" s="462"/>
      <c r="AJ86" s="462"/>
      <c r="AK86" s="462"/>
      <c r="AL86" s="462">
        <f t="shared" ref="AL86:AL88" si="197">AM86+AN86</f>
        <v>-2550</v>
      </c>
      <c r="AM86" s="462"/>
      <c r="AN86" s="462">
        <v>-2550</v>
      </c>
      <c r="AO86" s="462"/>
      <c r="AP86" s="462"/>
    </row>
    <row r="87" spans="1:42">
      <c r="A87" s="431" t="s">
        <v>94</v>
      </c>
      <c r="B87" s="435" t="s">
        <v>402</v>
      </c>
      <c r="C87" s="488">
        <f t="shared" si="188"/>
        <v>825</v>
      </c>
      <c r="D87" s="488">
        <f t="shared" si="189"/>
        <v>825</v>
      </c>
      <c r="E87" s="462">
        <f t="shared" si="57"/>
        <v>825</v>
      </c>
      <c r="F87" s="462"/>
      <c r="G87" s="462">
        <f>G88</f>
        <v>825</v>
      </c>
      <c r="H87" s="462">
        <f t="shared" si="58"/>
        <v>0</v>
      </c>
      <c r="I87" s="462"/>
      <c r="J87" s="462"/>
      <c r="K87" s="489">
        <f t="shared" si="159"/>
        <v>0</v>
      </c>
      <c r="L87" s="489">
        <f t="shared" si="160"/>
        <v>0</v>
      </c>
      <c r="M87" s="462"/>
      <c r="N87" s="489">
        <f t="shared" si="161"/>
        <v>0</v>
      </c>
      <c r="O87" s="489">
        <f t="shared" si="162"/>
        <v>0</v>
      </c>
      <c r="P87" s="462"/>
      <c r="Q87" s="462">
        <f t="shared" si="190"/>
        <v>0</v>
      </c>
      <c r="R87" s="462">
        <f t="shared" si="191"/>
        <v>0</v>
      </c>
      <c r="S87" s="462">
        <f t="shared" si="192"/>
        <v>0</v>
      </c>
      <c r="T87" s="462"/>
      <c r="U87" s="462"/>
      <c r="V87" s="462"/>
      <c r="W87" s="462"/>
      <c r="X87" s="462"/>
      <c r="Y87" s="462"/>
      <c r="Z87" s="462">
        <f t="shared" si="193"/>
        <v>0</v>
      </c>
      <c r="AA87" s="462"/>
      <c r="AB87" s="462"/>
      <c r="AC87" s="462"/>
      <c r="AD87" s="462">
        <f t="shared" si="194"/>
        <v>0</v>
      </c>
      <c r="AE87" s="462">
        <f t="shared" si="195"/>
        <v>0</v>
      </c>
      <c r="AF87" s="462">
        <f t="shared" si="196"/>
        <v>0</v>
      </c>
      <c r="AG87" s="462"/>
      <c r="AH87" s="462"/>
      <c r="AI87" s="462"/>
      <c r="AJ87" s="462"/>
      <c r="AK87" s="462"/>
      <c r="AL87" s="462">
        <f t="shared" si="197"/>
        <v>0</v>
      </c>
      <c r="AM87" s="462"/>
      <c r="AN87" s="462"/>
      <c r="AO87" s="462"/>
      <c r="AP87" s="462"/>
    </row>
    <row r="88" spans="1:42">
      <c r="A88" s="431"/>
      <c r="B88" s="439" t="s">
        <v>444</v>
      </c>
      <c r="C88" s="488">
        <f t="shared" si="188"/>
        <v>825</v>
      </c>
      <c r="D88" s="488">
        <f t="shared" si="189"/>
        <v>825</v>
      </c>
      <c r="E88" s="462">
        <f t="shared" si="57"/>
        <v>825</v>
      </c>
      <c r="F88" s="462"/>
      <c r="G88" s="462">
        <v>825</v>
      </c>
      <c r="H88" s="462"/>
      <c r="I88" s="462"/>
      <c r="J88" s="462"/>
      <c r="K88" s="489">
        <f t="shared" si="159"/>
        <v>0</v>
      </c>
      <c r="L88" s="489">
        <f t="shared" si="160"/>
        <v>0</v>
      </c>
      <c r="M88" s="462"/>
      <c r="N88" s="489">
        <f t="shared" si="161"/>
        <v>0</v>
      </c>
      <c r="O88" s="489">
        <f t="shared" si="162"/>
        <v>0</v>
      </c>
      <c r="P88" s="462"/>
      <c r="Q88" s="462">
        <f t="shared" si="190"/>
        <v>0</v>
      </c>
      <c r="R88" s="462">
        <f t="shared" si="191"/>
        <v>0</v>
      </c>
      <c r="S88" s="462">
        <f t="shared" si="192"/>
        <v>0</v>
      </c>
      <c r="T88" s="462"/>
      <c r="U88" s="462"/>
      <c r="V88" s="462"/>
      <c r="W88" s="462"/>
      <c r="X88" s="462"/>
      <c r="Y88" s="462"/>
      <c r="Z88" s="462">
        <f t="shared" si="193"/>
        <v>0</v>
      </c>
      <c r="AA88" s="462"/>
      <c r="AB88" s="462"/>
      <c r="AC88" s="462"/>
      <c r="AD88" s="462">
        <f t="shared" si="194"/>
        <v>0</v>
      </c>
      <c r="AE88" s="462">
        <f t="shared" si="195"/>
        <v>0</v>
      </c>
      <c r="AF88" s="462">
        <f t="shared" si="196"/>
        <v>0</v>
      </c>
      <c r="AG88" s="462"/>
      <c r="AH88" s="462"/>
      <c r="AI88" s="462"/>
      <c r="AJ88" s="462"/>
      <c r="AK88" s="462"/>
      <c r="AL88" s="462">
        <f t="shared" si="197"/>
        <v>0</v>
      </c>
      <c r="AM88" s="462"/>
      <c r="AN88" s="462"/>
      <c r="AO88" s="462"/>
      <c r="AP88" s="462"/>
    </row>
    <row r="89" spans="1:42" s="434" customFormat="1" ht="31.5">
      <c r="A89" s="561">
        <v>6</v>
      </c>
      <c r="B89" s="433" t="s">
        <v>391</v>
      </c>
      <c r="C89" s="489">
        <f>C90+C93</f>
        <v>184232</v>
      </c>
      <c r="D89" s="489">
        <f>D90+D93</f>
        <v>190032</v>
      </c>
      <c r="E89" s="495">
        <f>F89+G89</f>
        <v>131941</v>
      </c>
      <c r="F89" s="495">
        <f>F90+F93</f>
        <v>50060</v>
      </c>
      <c r="G89" s="495">
        <f>G90+G93</f>
        <v>81881</v>
      </c>
      <c r="H89" s="495">
        <f>I89+J89</f>
        <v>52291</v>
      </c>
      <c r="I89" s="495">
        <f>I90+I93</f>
        <v>52291</v>
      </c>
      <c r="J89" s="495">
        <f>J90+J93</f>
        <v>0</v>
      </c>
      <c r="K89" s="489">
        <f t="shared" si="159"/>
        <v>0</v>
      </c>
      <c r="L89" s="489">
        <f t="shared" si="160"/>
        <v>0</v>
      </c>
      <c r="M89" s="495">
        <f>M90+M93</f>
        <v>0</v>
      </c>
      <c r="N89" s="489">
        <f t="shared" si="161"/>
        <v>5800</v>
      </c>
      <c r="O89" s="489">
        <f t="shared" si="162"/>
        <v>0</v>
      </c>
      <c r="P89" s="495">
        <f>P90+P93</f>
        <v>5800</v>
      </c>
      <c r="Q89" s="495">
        <f t="shared" ref="Q89:AP89" si="198">Q90+Q93</f>
        <v>0</v>
      </c>
      <c r="R89" s="495">
        <f t="shared" si="198"/>
        <v>0</v>
      </c>
      <c r="S89" s="495">
        <f t="shared" si="198"/>
        <v>0</v>
      </c>
      <c r="T89" s="495">
        <f t="shared" si="198"/>
        <v>0</v>
      </c>
      <c r="U89" s="495">
        <f t="shared" si="198"/>
        <v>0</v>
      </c>
      <c r="V89" s="495">
        <f t="shared" si="198"/>
        <v>0</v>
      </c>
      <c r="W89" s="495">
        <f t="shared" si="198"/>
        <v>0</v>
      </c>
      <c r="X89" s="495">
        <f t="shared" si="198"/>
        <v>0</v>
      </c>
      <c r="Y89" s="495">
        <f t="shared" si="198"/>
        <v>0</v>
      </c>
      <c r="Z89" s="495">
        <f t="shared" si="198"/>
        <v>0</v>
      </c>
      <c r="AA89" s="495">
        <f t="shared" si="198"/>
        <v>0</v>
      </c>
      <c r="AB89" s="495">
        <f t="shared" si="198"/>
        <v>0</v>
      </c>
      <c r="AC89" s="495">
        <f t="shared" si="198"/>
        <v>0</v>
      </c>
      <c r="AD89" s="495">
        <f t="shared" si="198"/>
        <v>0</v>
      </c>
      <c r="AE89" s="495">
        <f t="shared" si="198"/>
        <v>0</v>
      </c>
      <c r="AF89" s="495">
        <f t="shared" si="198"/>
        <v>0</v>
      </c>
      <c r="AG89" s="495">
        <f t="shared" si="198"/>
        <v>0</v>
      </c>
      <c r="AH89" s="495">
        <f t="shared" si="198"/>
        <v>0</v>
      </c>
      <c r="AI89" s="495">
        <f t="shared" si="198"/>
        <v>0</v>
      </c>
      <c r="AJ89" s="495">
        <f t="shared" si="198"/>
        <v>0</v>
      </c>
      <c r="AK89" s="495">
        <f t="shared" si="198"/>
        <v>0</v>
      </c>
      <c r="AL89" s="495">
        <f t="shared" si="198"/>
        <v>0</v>
      </c>
      <c r="AM89" s="495">
        <f t="shared" si="198"/>
        <v>0</v>
      </c>
      <c r="AN89" s="495">
        <f t="shared" si="198"/>
        <v>0</v>
      </c>
      <c r="AO89" s="495">
        <f t="shared" si="198"/>
        <v>0</v>
      </c>
      <c r="AP89" s="495">
        <f t="shared" si="198"/>
        <v>0</v>
      </c>
    </row>
    <row r="90" spans="1:42">
      <c r="A90" s="431" t="s">
        <v>96</v>
      </c>
      <c r="B90" s="436" t="s">
        <v>401</v>
      </c>
      <c r="C90" s="488">
        <f t="shared" ref="C90:C97" si="199">E90+H90</f>
        <v>102351</v>
      </c>
      <c r="D90" s="488">
        <f t="shared" ref="D90:D97" si="200">E90+H90+M90+P90+Q90+AD90</f>
        <v>102351</v>
      </c>
      <c r="E90" s="462">
        <f t="shared" si="57"/>
        <v>50060</v>
      </c>
      <c r="F90" s="462">
        <f>F91+F92</f>
        <v>50060</v>
      </c>
      <c r="G90" s="462">
        <f>G91+G92</f>
        <v>0</v>
      </c>
      <c r="H90" s="462">
        <f t="shared" si="58"/>
        <v>52291</v>
      </c>
      <c r="I90" s="462">
        <f>I91+I92</f>
        <v>52291</v>
      </c>
      <c r="J90" s="462">
        <f>J91+J92</f>
        <v>0</v>
      </c>
      <c r="K90" s="489">
        <f t="shared" si="159"/>
        <v>0</v>
      </c>
      <c r="L90" s="489">
        <f t="shared" si="160"/>
        <v>0</v>
      </c>
      <c r="M90" s="462">
        <f>M91+M92</f>
        <v>0</v>
      </c>
      <c r="N90" s="489">
        <f t="shared" si="161"/>
        <v>0</v>
      </c>
      <c r="O90" s="489">
        <f t="shared" si="162"/>
        <v>0</v>
      </c>
      <c r="P90" s="462">
        <f>P91+P92</f>
        <v>0</v>
      </c>
      <c r="Q90" s="462">
        <f t="shared" ref="Q90:AP90" si="201">Q91+Q92</f>
        <v>0</v>
      </c>
      <c r="R90" s="462">
        <f t="shared" si="201"/>
        <v>0</v>
      </c>
      <c r="S90" s="462">
        <f t="shared" si="201"/>
        <v>0</v>
      </c>
      <c r="T90" s="462">
        <f t="shared" si="201"/>
        <v>0</v>
      </c>
      <c r="U90" s="462">
        <f t="shared" si="201"/>
        <v>0</v>
      </c>
      <c r="V90" s="462">
        <f t="shared" si="201"/>
        <v>0</v>
      </c>
      <c r="W90" s="462">
        <f t="shared" si="201"/>
        <v>0</v>
      </c>
      <c r="X90" s="462">
        <f t="shared" si="201"/>
        <v>0</v>
      </c>
      <c r="Y90" s="462">
        <f t="shared" si="201"/>
        <v>0</v>
      </c>
      <c r="Z90" s="462">
        <f t="shared" si="201"/>
        <v>0</v>
      </c>
      <c r="AA90" s="462">
        <f t="shared" si="201"/>
        <v>0</v>
      </c>
      <c r="AB90" s="462">
        <f t="shared" si="201"/>
        <v>0</v>
      </c>
      <c r="AC90" s="462">
        <f t="shared" si="201"/>
        <v>0</v>
      </c>
      <c r="AD90" s="462">
        <f t="shared" si="201"/>
        <v>0</v>
      </c>
      <c r="AE90" s="462">
        <f t="shared" si="201"/>
        <v>0</v>
      </c>
      <c r="AF90" s="462">
        <f t="shared" si="201"/>
        <v>0</v>
      </c>
      <c r="AG90" s="462">
        <f t="shared" si="201"/>
        <v>0</v>
      </c>
      <c r="AH90" s="462">
        <f t="shared" si="201"/>
        <v>0</v>
      </c>
      <c r="AI90" s="462">
        <f t="shared" si="201"/>
        <v>0</v>
      </c>
      <c r="AJ90" s="462">
        <f t="shared" si="201"/>
        <v>0</v>
      </c>
      <c r="AK90" s="462">
        <f t="shared" si="201"/>
        <v>0</v>
      </c>
      <c r="AL90" s="462">
        <f t="shared" si="201"/>
        <v>0</v>
      </c>
      <c r="AM90" s="462">
        <f t="shared" si="201"/>
        <v>0</v>
      </c>
      <c r="AN90" s="462">
        <f t="shared" si="201"/>
        <v>0</v>
      </c>
      <c r="AO90" s="462">
        <f t="shared" si="201"/>
        <v>0</v>
      </c>
      <c r="AP90" s="462">
        <f t="shared" si="201"/>
        <v>0</v>
      </c>
    </row>
    <row r="91" spans="1:42" s="424" customFormat="1">
      <c r="A91" s="432" t="s">
        <v>257</v>
      </c>
      <c r="B91" s="435" t="s">
        <v>37</v>
      </c>
      <c r="C91" s="488">
        <f t="shared" si="199"/>
        <v>85231</v>
      </c>
      <c r="D91" s="488">
        <f t="shared" si="200"/>
        <v>85231</v>
      </c>
      <c r="E91" s="460">
        <f t="shared" si="57"/>
        <v>32940</v>
      </c>
      <c r="F91" s="460">
        <f>16470+16470</f>
        <v>32940</v>
      </c>
      <c r="G91" s="460"/>
      <c r="H91" s="460">
        <f t="shared" si="58"/>
        <v>52291</v>
      </c>
      <c r="I91" s="460">
        <v>52291</v>
      </c>
      <c r="J91" s="460"/>
      <c r="K91" s="489">
        <f t="shared" si="159"/>
        <v>0</v>
      </c>
      <c r="L91" s="489">
        <f t="shared" si="160"/>
        <v>0</v>
      </c>
      <c r="M91" s="460"/>
      <c r="N91" s="489">
        <f t="shared" si="161"/>
        <v>0</v>
      </c>
      <c r="O91" s="489">
        <f t="shared" si="162"/>
        <v>0</v>
      </c>
      <c r="P91" s="460"/>
      <c r="Q91" s="462">
        <f t="shared" ref="Q91:Q92" si="202">R91+S91</f>
        <v>0</v>
      </c>
      <c r="R91" s="462">
        <f t="shared" ref="R91:R92" si="203">T91+U91+V91+W91+X91+Y91+AA91</f>
        <v>0</v>
      </c>
      <c r="S91" s="462">
        <f t="shared" ref="S91:S92" si="204">AB91</f>
        <v>0</v>
      </c>
      <c r="T91" s="462"/>
      <c r="U91" s="462"/>
      <c r="V91" s="462"/>
      <c r="W91" s="462"/>
      <c r="X91" s="462"/>
      <c r="Y91" s="462"/>
      <c r="Z91" s="462">
        <f t="shared" ref="Z91:Z92" si="205">AB91+AA91</f>
        <v>0</v>
      </c>
      <c r="AA91" s="462"/>
      <c r="AB91" s="462"/>
      <c r="AC91" s="462"/>
      <c r="AD91" s="462">
        <f t="shared" ref="AD91:AD92" si="206">AE91+AF91</f>
        <v>0</v>
      </c>
      <c r="AE91" s="462">
        <f t="shared" ref="AE91:AE92" si="207">AG91+AH91+AI91+AJ91+AK91+AM91+AO91+AP91</f>
        <v>0</v>
      </c>
      <c r="AF91" s="462">
        <f t="shared" ref="AF91:AF92" si="208">AN91</f>
        <v>0</v>
      </c>
      <c r="AG91" s="460"/>
      <c r="AH91" s="460"/>
      <c r="AI91" s="460"/>
      <c r="AJ91" s="460"/>
      <c r="AK91" s="460"/>
      <c r="AL91" s="462">
        <f t="shared" ref="AL91:AL92" si="209">AM91+AN91</f>
        <v>0</v>
      </c>
      <c r="AM91" s="460"/>
      <c r="AN91" s="460"/>
      <c r="AO91" s="460"/>
      <c r="AP91" s="460"/>
    </row>
    <row r="92" spans="1:42" s="424" customFormat="1">
      <c r="A92" s="432" t="s">
        <v>433</v>
      </c>
      <c r="B92" s="435" t="s">
        <v>437</v>
      </c>
      <c r="C92" s="488">
        <f t="shared" si="199"/>
        <v>17120</v>
      </c>
      <c r="D92" s="488">
        <f t="shared" si="200"/>
        <v>17120</v>
      </c>
      <c r="E92" s="460">
        <f t="shared" si="57"/>
        <v>17120</v>
      </c>
      <c r="F92" s="460">
        <f>17120</f>
        <v>17120</v>
      </c>
      <c r="G92" s="460"/>
      <c r="H92" s="460">
        <f t="shared" si="58"/>
        <v>0</v>
      </c>
      <c r="I92" s="460"/>
      <c r="J92" s="460"/>
      <c r="K92" s="489">
        <f t="shared" si="159"/>
        <v>0</v>
      </c>
      <c r="L92" s="489">
        <f t="shared" si="160"/>
        <v>0</v>
      </c>
      <c r="M92" s="460"/>
      <c r="N92" s="489">
        <f t="shared" si="161"/>
        <v>0</v>
      </c>
      <c r="O92" s="489">
        <f t="shared" si="162"/>
        <v>0</v>
      </c>
      <c r="P92" s="460"/>
      <c r="Q92" s="462">
        <f t="shared" si="202"/>
        <v>0</v>
      </c>
      <c r="R92" s="462">
        <f t="shared" si="203"/>
        <v>0</v>
      </c>
      <c r="S92" s="462">
        <f t="shared" si="204"/>
        <v>0</v>
      </c>
      <c r="T92" s="462"/>
      <c r="U92" s="462"/>
      <c r="V92" s="462"/>
      <c r="W92" s="462"/>
      <c r="X92" s="462"/>
      <c r="Y92" s="462"/>
      <c r="Z92" s="462">
        <f t="shared" si="205"/>
        <v>0</v>
      </c>
      <c r="AA92" s="462"/>
      <c r="AB92" s="462"/>
      <c r="AC92" s="462"/>
      <c r="AD92" s="462">
        <f t="shared" si="206"/>
        <v>0</v>
      </c>
      <c r="AE92" s="462">
        <f t="shared" si="207"/>
        <v>0</v>
      </c>
      <c r="AF92" s="462">
        <f t="shared" si="208"/>
        <v>0</v>
      </c>
      <c r="AG92" s="460"/>
      <c r="AH92" s="460"/>
      <c r="AI92" s="460"/>
      <c r="AJ92" s="460"/>
      <c r="AK92" s="460"/>
      <c r="AL92" s="462">
        <f t="shared" si="209"/>
        <v>0</v>
      </c>
      <c r="AM92" s="460"/>
      <c r="AN92" s="460"/>
      <c r="AO92" s="460"/>
      <c r="AP92" s="460"/>
    </row>
    <row r="93" spans="1:42">
      <c r="A93" s="431" t="s">
        <v>97</v>
      </c>
      <c r="B93" s="480" t="s">
        <v>402</v>
      </c>
      <c r="C93" s="488">
        <f t="shared" si="199"/>
        <v>81881</v>
      </c>
      <c r="D93" s="488">
        <f t="shared" si="200"/>
        <v>87681</v>
      </c>
      <c r="E93" s="462">
        <f t="shared" si="57"/>
        <v>81881</v>
      </c>
      <c r="F93" s="462">
        <f>SUM(F94:F96)</f>
        <v>0</v>
      </c>
      <c r="G93" s="462">
        <f>SUM(G94:G96)</f>
        <v>81881</v>
      </c>
      <c r="H93" s="462">
        <f t="shared" si="58"/>
        <v>0</v>
      </c>
      <c r="I93" s="462">
        <f>SUM(I94:I96)</f>
        <v>0</v>
      </c>
      <c r="J93" s="462">
        <f>SUM(J94:J96)</f>
        <v>0</v>
      </c>
      <c r="K93" s="489">
        <f t="shared" si="159"/>
        <v>0</v>
      </c>
      <c r="L93" s="489">
        <f t="shared" si="160"/>
        <v>0</v>
      </c>
      <c r="M93" s="462">
        <f>SUM(M94:M96)</f>
        <v>0</v>
      </c>
      <c r="N93" s="489">
        <f t="shared" si="161"/>
        <v>5800</v>
      </c>
      <c r="O93" s="489">
        <f t="shared" si="162"/>
        <v>0</v>
      </c>
      <c r="P93" s="462">
        <f>SUM(P94:P96)</f>
        <v>5800</v>
      </c>
      <c r="Q93" s="462">
        <f t="shared" ref="Q93:AP93" si="210">SUM(Q94:Q96)</f>
        <v>0</v>
      </c>
      <c r="R93" s="462">
        <f t="shared" si="210"/>
        <v>0</v>
      </c>
      <c r="S93" s="462">
        <f t="shared" si="210"/>
        <v>0</v>
      </c>
      <c r="T93" s="462">
        <f t="shared" si="210"/>
        <v>0</v>
      </c>
      <c r="U93" s="462">
        <f t="shared" si="210"/>
        <v>0</v>
      </c>
      <c r="V93" s="462">
        <f t="shared" si="210"/>
        <v>0</v>
      </c>
      <c r="W93" s="462">
        <f t="shared" si="210"/>
        <v>0</v>
      </c>
      <c r="X93" s="462">
        <f t="shared" si="210"/>
        <v>0</v>
      </c>
      <c r="Y93" s="462">
        <f t="shared" si="210"/>
        <v>0</v>
      </c>
      <c r="Z93" s="462">
        <f t="shared" si="210"/>
        <v>0</v>
      </c>
      <c r="AA93" s="462">
        <f t="shared" si="210"/>
        <v>0</v>
      </c>
      <c r="AB93" s="462">
        <f t="shared" si="210"/>
        <v>0</v>
      </c>
      <c r="AC93" s="462">
        <f t="shared" si="210"/>
        <v>0</v>
      </c>
      <c r="AD93" s="462">
        <f t="shared" si="210"/>
        <v>0</v>
      </c>
      <c r="AE93" s="462">
        <f t="shared" si="210"/>
        <v>0</v>
      </c>
      <c r="AF93" s="462">
        <f t="shared" si="210"/>
        <v>0</v>
      </c>
      <c r="AG93" s="462">
        <f t="shared" si="210"/>
        <v>0</v>
      </c>
      <c r="AH93" s="462">
        <f t="shared" si="210"/>
        <v>0</v>
      </c>
      <c r="AI93" s="462">
        <f t="shared" si="210"/>
        <v>0</v>
      </c>
      <c r="AJ93" s="462">
        <f t="shared" si="210"/>
        <v>0</v>
      </c>
      <c r="AK93" s="462">
        <f t="shared" si="210"/>
        <v>0</v>
      </c>
      <c r="AL93" s="462">
        <f t="shared" si="210"/>
        <v>0</v>
      </c>
      <c r="AM93" s="462">
        <f t="shared" si="210"/>
        <v>0</v>
      </c>
      <c r="AN93" s="462">
        <f t="shared" si="210"/>
        <v>0</v>
      </c>
      <c r="AO93" s="462">
        <f t="shared" si="210"/>
        <v>0</v>
      </c>
      <c r="AP93" s="462">
        <f t="shared" si="210"/>
        <v>0</v>
      </c>
    </row>
    <row r="94" spans="1:42">
      <c r="A94" s="431" t="s">
        <v>433</v>
      </c>
      <c r="B94" s="435" t="s">
        <v>446</v>
      </c>
      <c r="C94" s="488">
        <f t="shared" si="199"/>
        <v>581</v>
      </c>
      <c r="D94" s="488">
        <f t="shared" si="200"/>
        <v>581</v>
      </c>
      <c r="E94" s="462">
        <f t="shared" si="57"/>
        <v>581</v>
      </c>
      <c r="F94" s="462"/>
      <c r="G94" s="462">
        <v>581</v>
      </c>
      <c r="H94" s="462">
        <f t="shared" si="58"/>
        <v>0</v>
      </c>
      <c r="I94" s="462"/>
      <c r="J94" s="462"/>
      <c r="K94" s="489">
        <f t="shared" si="159"/>
        <v>0</v>
      </c>
      <c r="L94" s="489">
        <f t="shared" si="160"/>
        <v>0</v>
      </c>
      <c r="M94" s="462"/>
      <c r="N94" s="489">
        <f t="shared" si="161"/>
        <v>0</v>
      </c>
      <c r="O94" s="489">
        <f t="shared" si="162"/>
        <v>0</v>
      </c>
      <c r="P94" s="462"/>
      <c r="Q94" s="462">
        <f t="shared" ref="Q94:Q97" si="211">R94+S94</f>
        <v>0</v>
      </c>
      <c r="R94" s="462">
        <f t="shared" ref="R94:R97" si="212">T94+U94+V94+W94+X94+Y94+AA94</f>
        <v>0</v>
      </c>
      <c r="S94" s="462">
        <f t="shared" ref="S94:S97" si="213">AB94</f>
        <v>0</v>
      </c>
      <c r="T94" s="462"/>
      <c r="U94" s="462"/>
      <c r="V94" s="462"/>
      <c r="W94" s="462"/>
      <c r="X94" s="462"/>
      <c r="Y94" s="462"/>
      <c r="Z94" s="462">
        <f t="shared" ref="Z94:Z97" si="214">AB94+AA94</f>
        <v>0</v>
      </c>
      <c r="AA94" s="462"/>
      <c r="AB94" s="462"/>
      <c r="AC94" s="462"/>
      <c r="AD94" s="462">
        <f t="shared" ref="AD94:AD97" si="215">AE94+AF94</f>
        <v>0</v>
      </c>
      <c r="AE94" s="462">
        <f t="shared" ref="AE94:AE97" si="216">AG94+AH94+AI94+AJ94+AK94+AM94+AO94+AP94</f>
        <v>0</v>
      </c>
      <c r="AF94" s="462">
        <f t="shared" ref="AF94:AF97" si="217">AN94</f>
        <v>0</v>
      </c>
      <c r="AG94" s="462"/>
      <c r="AH94" s="462"/>
      <c r="AI94" s="462"/>
      <c r="AJ94" s="462"/>
      <c r="AK94" s="462"/>
      <c r="AL94" s="462">
        <f t="shared" ref="AL94:AL97" si="218">AM94+AN94</f>
        <v>0</v>
      </c>
      <c r="AM94" s="462"/>
      <c r="AN94" s="462"/>
      <c r="AO94" s="462"/>
      <c r="AP94" s="462"/>
    </row>
    <row r="95" spans="1:42">
      <c r="A95" s="431" t="s">
        <v>433</v>
      </c>
      <c r="B95" s="435" t="s">
        <v>465</v>
      </c>
      <c r="C95" s="488">
        <f t="shared" si="199"/>
        <v>71300</v>
      </c>
      <c r="D95" s="488">
        <f t="shared" si="200"/>
        <v>77100</v>
      </c>
      <c r="E95" s="462">
        <f t="shared" si="57"/>
        <v>71300</v>
      </c>
      <c r="F95" s="462"/>
      <c r="G95" s="462">
        <v>71300</v>
      </c>
      <c r="H95" s="462"/>
      <c r="I95" s="462"/>
      <c r="J95" s="462"/>
      <c r="K95" s="489">
        <f t="shared" si="159"/>
        <v>0</v>
      </c>
      <c r="L95" s="489">
        <f t="shared" si="160"/>
        <v>0</v>
      </c>
      <c r="M95" s="462"/>
      <c r="N95" s="489">
        <f t="shared" si="161"/>
        <v>5800</v>
      </c>
      <c r="O95" s="489">
        <f t="shared" si="162"/>
        <v>0</v>
      </c>
      <c r="P95" s="462">
        <f>5800-O95</f>
        <v>5800</v>
      </c>
      <c r="Q95" s="462">
        <f t="shared" si="211"/>
        <v>0</v>
      </c>
      <c r="R95" s="462">
        <f t="shared" si="212"/>
        <v>0</v>
      </c>
      <c r="S95" s="462">
        <f t="shared" si="213"/>
        <v>0</v>
      </c>
      <c r="T95" s="462"/>
      <c r="U95" s="462"/>
      <c r="V95" s="462"/>
      <c r="W95" s="462"/>
      <c r="X95" s="462"/>
      <c r="Y95" s="462"/>
      <c r="Z95" s="462">
        <f t="shared" si="214"/>
        <v>0</v>
      </c>
      <c r="AA95" s="462"/>
      <c r="AB95" s="462"/>
      <c r="AC95" s="462"/>
      <c r="AD95" s="462">
        <f t="shared" si="215"/>
        <v>0</v>
      </c>
      <c r="AE95" s="462">
        <f t="shared" si="216"/>
        <v>0</v>
      </c>
      <c r="AF95" s="462">
        <f t="shared" si="217"/>
        <v>0</v>
      </c>
      <c r="AG95" s="462"/>
      <c r="AH95" s="462"/>
      <c r="AI95" s="462"/>
      <c r="AJ95" s="462"/>
      <c r="AK95" s="462"/>
      <c r="AL95" s="462">
        <f t="shared" si="218"/>
        <v>0</v>
      </c>
      <c r="AM95" s="462"/>
      <c r="AN95" s="462"/>
      <c r="AO95" s="462"/>
      <c r="AP95" s="462"/>
    </row>
    <row r="96" spans="1:42">
      <c r="A96" s="431" t="s">
        <v>433</v>
      </c>
      <c r="B96" s="435" t="s">
        <v>402</v>
      </c>
      <c r="C96" s="488">
        <f t="shared" si="199"/>
        <v>10000</v>
      </c>
      <c r="D96" s="488">
        <f t="shared" si="200"/>
        <v>10000</v>
      </c>
      <c r="E96" s="462">
        <f t="shared" si="57"/>
        <v>10000</v>
      </c>
      <c r="F96" s="462"/>
      <c r="G96" s="462">
        <f>10000</f>
        <v>10000</v>
      </c>
      <c r="H96" s="462">
        <f t="shared" si="58"/>
        <v>0</v>
      </c>
      <c r="I96" s="462"/>
      <c r="J96" s="462"/>
      <c r="K96" s="489">
        <f t="shared" si="159"/>
        <v>0</v>
      </c>
      <c r="L96" s="489">
        <f t="shared" si="160"/>
        <v>0</v>
      </c>
      <c r="M96" s="462"/>
      <c r="N96" s="489">
        <f t="shared" si="161"/>
        <v>0</v>
      </c>
      <c r="O96" s="489">
        <f t="shared" si="162"/>
        <v>0</v>
      </c>
      <c r="P96" s="462"/>
      <c r="Q96" s="462">
        <f t="shared" si="211"/>
        <v>0</v>
      </c>
      <c r="R96" s="462">
        <f t="shared" si="212"/>
        <v>0</v>
      </c>
      <c r="S96" s="462">
        <f t="shared" si="213"/>
        <v>0</v>
      </c>
      <c r="T96" s="462"/>
      <c r="U96" s="462"/>
      <c r="V96" s="462"/>
      <c r="W96" s="462"/>
      <c r="X96" s="462"/>
      <c r="Y96" s="462"/>
      <c r="Z96" s="462">
        <f t="shared" si="214"/>
        <v>0</v>
      </c>
      <c r="AA96" s="462"/>
      <c r="AB96" s="462"/>
      <c r="AC96" s="462"/>
      <c r="AD96" s="462">
        <f t="shared" si="215"/>
        <v>0</v>
      </c>
      <c r="AE96" s="462">
        <f t="shared" si="216"/>
        <v>0</v>
      </c>
      <c r="AF96" s="462">
        <f t="shared" si="217"/>
        <v>0</v>
      </c>
      <c r="AG96" s="462"/>
      <c r="AH96" s="462"/>
      <c r="AI96" s="462"/>
      <c r="AJ96" s="462"/>
      <c r="AK96" s="462"/>
      <c r="AL96" s="462">
        <f t="shared" si="218"/>
        <v>0</v>
      </c>
      <c r="AM96" s="462"/>
      <c r="AN96" s="462"/>
      <c r="AO96" s="462"/>
      <c r="AP96" s="462"/>
    </row>
    <row r="97" spans="1:42">
      <c r="A97" s="431"/>
      <c r="B97" s="435" t="s">
        <v>447</v>
      </c>
      <c r="C97" s="488">
        <f t="shared" si="199"/>
        <v>1000</v>
      </c>
      <c r="D97" s="488">
        <f t="shared" si="200"/>
        <v>1000</v>
      </c>
      <c r="E97" s="462">
        <f t="shared" si="57"/>
        <v>1000</v>
      </c>
      <c r="F97" s="462"/>
      <c r="G97" s="462">
        <f>G96*10%</f>
        <v>1000</v>
      </c>
      <c r="H97" s="462">
        <f t="shared" si="58"/>
        <v>0</v>
      </c>
      <c r="I97" s="462"/>
      <c r="J97" s="462"/>
      <c r="K97" s="489">
        <f t="shared" si="159"/>
        <v>0</v>
      </c>
      <c r="L97" s="489">
        <f t="shared" si="160"/>
        <v>0</v>
      </c>
      <c r="M97" s="462"/>
      <c r="N97" s="489">
        <f t="shared" si="161"/>
        <v>0</v>
      </c>
      <c r="O97" s="489">
        <f t="shared" si="162"/>
        <v>0</v>
      </c>
      <c r="P97" s="462"/>
      <c r="Q97" s="462">
        <f t="shared" si="211"/>
        <v>0</v>
      </c>
      <c r="R97" s="462">
        <f t="shared" si="212"/>
        <v>0</v>
      </c>
      <c r="S97" s="462">
        <f t="shared" si="213"/>
        <v>0</v>
      </c>
      <c r="T97" s="462"/>
      <c r="U97" s="462"/>
      <c r="V97" s="462"/>
      <c r="W97" s="462"/>
      <c r="X97" s="462"/>
      <c r="Y97" s="462"/>
      <c r="Z97" s="462">
        <f t="shared" si="214"/>
        <v>0</v>
      </c>
      <c r="AA97" s="462"/>
      <c r="AB97" s="462"/>
      <c r="AC97" s="462"/>
      <c r="AD97" s="462">
        <f t="shared" si="215"/>
        <v>0</v>
      </c>
      <c r="AE97" s="462">
        <f t="shared" si="216"/>
        <v>0</v>
      </c>
      <c r="AF97" s="462">
        <f t="shared" si="217"/>
        <v>0</v>
      </c>
      <c r="AG97" s="462"/>
      <c r="AH97" s="462"/>
      <c r="AI97" s="462"/>
      <c r="AJ97" s="462"/>
      <c r="AK97" s="462"/>
      <c r="AL97" s="462">
        <f t="shared" si="218"/>
        <v>0</v>
      </c>
      <c r="AM97" s="462"/>
      <c r="AN97" s="462"/>
      <c r="AO97" s="462"/>
      <c r="AP97" s="462"/>
    </row>
    <row r="98" spans="1:42" s="434" customFormat="1" ht="31.5">
      <c r="A98" s="561">
        <v>7</v>
      </c>
      <c r="B98" s="433" t="s">
        <v>392</v>
      </c>
      <c r="C98" s="489">
        <f>C99+C102</f>
        <v>48072</v>
      </c>
      <c r="D98" s="489">
        <f>D99+D102</f>
        <v>48072</v>
      </c>
      <c r="E98" s="495">
        <f t="shared" si="57"/>
        <v>19150</v>
      </c>
      <c r="F98" s="495">
        <f>F99+F102</f>
        <v>16286</v>
      </c>
      <c r="G98" s="495">
        <f>G99+G102</f>
        <v>2864</v>
      </c>
      <c r="H98" s="495">
        <f>I98+J98</f>
        <v>28922</v>
      </c>
      <c r="I98" s="495">
        <f>I99+I102</f>
        <v>28922</v>
      </c>
      <c r="J98" s="495">
        <f>J99+J102</f>
        <v>0</v>
      </c>
      <c r="K98" s="489">
        <f t="shared" si="159"/>
        <v>0</v>
      </c>
      <c r="L98" s="489">
        <f t="shared" si="160"/>
        <v>0</v>
      </c>
      <c r="M98" s="495">
        <f>M99+M102</f>
        <v>0</v>
      </c>
      <c r="N98" s="489">
        <f t="shared" si="161"/>
        <v>0</v>
      </c>
      <c r="O98" s="489">
        <f t="shared" si="162"/>
        <v>0</v>
      </c>
      <c r="P98" s="495">
        <f>P99+P102</f>
        <v>0</v>
      </c>
      <c r="Q98" s="495">
        <f t="shared" ref="Q98:AP98" si="219">Q99+Q102</f>
        <v>0</v>
      </c>
      <c r="R98" s="495">
        <f t="shared" si="219"/>
        <v>0</v>
      </c>
      <c r="S98" s="495">
        <f t="shared" si="219"/>
        <v>0</v>
      </c>
      <c r="T98" s="495">
        <f t="shared" si="219"/>
        <v>0</v>
      </c>
      <c r="U98" s="495">
        <f t="shared" si="219"/>
        <v>0</v>
      </c>
      <c r="V98" s="495">
        <f t="shared" si="219"/>
        <v>0</v>
      </c>
      <c r="W98" s="495">
        <f t="shared" si="219"/>
        <v>0</v>
      </c>
      <c r="X98" s="495">
        <f t="shared" si="219"/>
        <v>0</v>
      </c>
      <c r="Y98" s="495">
        <f t="shared" si="219"/>
        <v>0</v>
      </c>
      <c r="Z98" s="495">
        <f t="shared" si="219"/>
        <v>0</v>
      </c>
      <c r="AA98" s="495">
        <f t="shared" si="219"/>
        <v>0</v>
      </c>
      <c r="AB98" s="495">
        <f t="shared" si="219"/>
        <v>0</v>
      </c>
      <c r="AC98" s="495">
        <f t="shared" si="219"/>
        <v>0</v>
      </c>
      <c r="AD98" s="495">
        <f t="shared" si="219"/>
        <v>0</v>
      </c>
      <c r="AE98" s="495">
        <f t="shared" si="219"/>
        <v>0</v>
      </c>
      <c r="AF98" s="495">
        <f t="shared" si="219"/>
        <v>0</v>
      </c>
      <c r="AG98" s="495">
        <f t="shared" si="219"/>
        <v>0</v>
      </c>
      <c r="AH98" s="495">
        <f t="shared" si="219"/>
        <v>0</v>
      </c>
      <c r="AI98" s="495">
        <f t="shared" si="219"/>
        <v>0</v>
      </c>
      <c r="AJ98" s="495">
        <f t="shared" si="219"/>
        <v>0</v>
      </c>
      <c r="AK98" s="495">
        <f t="shared" si="219"/>
        <v>0</v>
      </c>
      <c r="AL98" s="495">
        <f t="shared" si="219"/>
        <v>0</v>
      </c>
      <c r="AM98" s="495">
        <f t="shared" si="219"/>
        <v>0</v>
      </c>
      <c r="AN98" s="495">
        <f t="shared" si="219"/>
        <v>0</v>
      </c>
      <c r="AO98" s="495">
        <f t="shared" si="219"/>
        <v>0</v>
      </c>
      <c r="AP98" s="495">
        <f t="shared" si="219"/>
        <v>0</v>
      </c>
    </row>
    <row r="99" spans="1:42">
      <c r="A99" s="431" t="s">
        <v>100</v>
      </c>
      <c r="B99" s="436" t="s">
        <v>401</v>
      </c>
      <c r="C99" s="488">
        <f t="shared" ref="C99:C105" si="220">E99+H99</f>
        <v>45208</v>
      </c>
      <c r="D99" s="488">
        <f t="shared" ref="D99:D105" si="221">E99+H99+M99+P99+Q99+AD99</f>
        <v>45208</v>
      </c>
      <c r="E99" s="462">
        <f t="shared" si="57"/>
        <v>16286</v>
      </c>
      <c r="F99" s="462">
        <f>F100+F101</f>
        <v>16286</v>
      </c>
      <c r="G99" s="462">
        <f>G100+G101</f>
        <v>0</v>
      </c>
      <c r="H99" s="462">
        <f t="shared" si="58"/>
        <v>28922</v>
      </c>
      <c r="I99" s="462">
        <f>I100+I101</f>
        <v>28922</v>
      </c>
      <c r="J99" s="462">
        <f>J100+J101</f>
        <v>0</v>
      </c>
      <c r="K99" s="489">
        <f t="shared" si="159"/>
        <v>0</v>
      </c>
      <c r="L99" s="489">
        <f t="shared" si="160"/>
        <v>0</v>
      </c>
      <c r="M99" s="462">
        <f>M100+M101</f>
        <v>0</v>
      </c>
      <c r="N99" s="489">
        <f t="shared" si="161"/>
        <v>0</v>
      </c>
      <c r="O99" s="489">
        <f t="shared" si="162"/>
        <v>0</v>
      </c>
      <c r="P99" s="462">
        <f>P100+P101</f>
        <v>0</v>
      </c>
      <c r="Q99" s="462">
        <f t="shared" ref="Q99:AP99" si="222">Q100+Q101</f>
        <v>0</v>
      </c>
      <c r="R99" s="462">
        <f t="shared" si="222"/>
        <v>0</v>
      </c>
      <c r="S99" s="462">
        <f t="shared" si="222"/>
        <v>0</v>
      </c>
      <c r="T99" s="462">
        <f t="shared" si="222"/>
        <v>0</v>
      </c>
      <c r="U99" s="462">
        <f t="shared" si="222"/>
        <v>0</v>
      </c>
      <c r="V99" s="462">
        <f t="shared" si="222"/>
        <v>0</v>
      </c>
      <c r="W99" s="462">
        <f t="shared" si="222"/>
        <v>0</v>
      </c>
      <c r="X99" s="462">
        <f t="shared" si="222"/>
        <v>0</v>
      </c>
      <c r="Y99" s="462">
        <f t="shared" si="222"/>
        <v>0</v>
      </c>
      <c r="Z99" s="462">
        <f t="shared" si="222"/>
        <v>0</v>
      </c>
      <c r="AA99" s="462">
        <f t="shared" si="222"/>
        <v>0</v>
      </c>
      <c r="AB99" s="462">
        <f t="shared" si="222"/>
        <v>0</v>
      </c>
      <c r="AC99" s="462">
        <f t="shared" si="222"/>
        <v>0</v>
      </c>
      <c r="AD99" s="462">
        <f t="shared" si="222"/>
        <v>0</v>
      </c>
      <c r="AE99" s="462">
        <f t="shared" si="222"/>
        <v>0</v>
      </c>
      <c r="AF99" s="462">
        <f t="shared" si="222"/>
        <v>0</v>
      </c>
      <c r="AG99" s="462">
        <f t="shared" si="222"/>
        <v>0</v>
      </c>
      <c r="AH99" s="462">
        <f t="shared" si="222"/>
        <v>0</v>
      </c>
      <c r="AI99" s="462">
        <f t="shared" si="222"/>
        <v>0</v>
      </c>
      <c r="AJ99" s="462">
        <f t="shared" si="222"/>
        <v>0</v>
      </c>
      <c r="AK99" s="462">
        <f t="shared" si="222"/>
        <v>0</v>
      </c>
      <c r="AL99" s="462">
        <f t="shared" si="222"/>
        <v>0</v>
      </c>
      <c r="AM99" s="462">
        <f t="shared" si="222"/>
        <v>0</v>
      </c>
      <c r="AN99" s="462">
        <f t="shared" si="222"/>
        <v>0</v>
      </c>
      <c r="AO99" s="462">
        <f t="shared" si="222"/>
        <v>0</v>
      </c>
      <c r="AP99" s="462">
        <f t="shared" si="222"/>
        <v>0</v>
      </c>
    </row>
    <row r="100" spans="1:42" s="424" customFormat="1">
      <c r="A100" s="432" t="s">
        <v>433</v>
      </c>
      <c r="B100" s="435" t="s">
        <v>37</v>
      </c>
      <c r="C100" s="488">
        <f t="shared" si="220"/>
        <v>40897</v>
      </c>
      <c r="D100" s="488">
        <f t="shared" si="221"/>
        <v>40897</v>
      </c>
      <c r="E100" s="460">
        <f t="shared" si="57"/>
        <v>11975</v>
      </c>
      <c r="F100" s="460">
        <f>11975</f>
        <v>11975</v>
      </c>
      <c r="G100" s="460"/>
      <c r="H100" s="460">
        <f t="shared" si="58"/>
        <v>28922</v>
      </c>
      <c r="I100" s="460">
        <v>28922</v>
      </c>
      <c r="J100" s="460"/>
      <c r="K100" s="489">
        <f t="shared" si="159"/>
        <v>0</v>
      </c>
      <c r="L100" s="489">
        <f t="shared" si="160"/>
        <v>0</v>
      </c>
      <c r="M100" s="460"/>
      <c r="N100" s="489">
        <f t="shared" si="161"/>
        <v>0</v>
      </c>
      <c r="O100" s="489">
        <f t="shared" si="162"/>
        <v>0</v>
      </c>
      <c r="P100" s="460"/>
      <c r="Q100" s="462">
        <f t="shared" ref="Q100:Q101" si="223">R100+S100</f>
        <v>0</v>
      </c>
      <c r="R100" s="462">
        <f t="shared" ref="R100:R101" si="224">T100+U100+V100+W100+X100+Y100+AA100</f>
        <v>0</v>
      </c>
      <c r="S100" s="462">
        <f t="shared" ref="S100:S101" si="225">AB100</f>
        <v>0</v>
      </c>
      <c r="T100" s="462"/>
      <c r="U100" s="462"/>
      <c r="V100" s="462"/>
      <c r="W100" s="462"/>
      <c r="X100" s="462"/>
      <c r="Y100" s="462"/>
      <c r="Z100" s="462">
        <f t="shared" ref="Z100:Z101" si="226">AB100+AA100</f>
        <v>0</v>
      </c>
      <c r="AA100" s="462"/>
      <c r="AB100" s="462"/>
      <c r="AC100" s="462"/>
      <c r="AD100" s="462">
        <f t="shared" ref="AD100:AD101" si="227">AE100+AF100</f>
        <v>0</v>
      </c>
      <c r="AE100" s="462">
        <f t="shared" ref="AE100:AE101" si="228">AG100+AH100+AI100+AJ100+AK100+AM100+AO100+AP100</f>
        <v>0</v>
      </c>
      <c r="AF100" s="462">
        <f t="shared" ref="AF100:AF101" si="229">AN100</f>
        <v>0</v>
      </c>
      <c r="AG100" s="460"/>
      <c r="AH100" s="460"/>
      <c r="AI100" s="460"/>
      <c r="AJ100" s="460"/>
      <c r="AK100" s="460"/>
      <c r="AL100" s="462">
        <f t="shared" ref="AL100:AL101" si="230">AM100+AN100</f>
        <v>0</v>
      </c>
      <c r="AM100" s="460"/>
      <c r="AN100" s="460"/>
      <c r="AO100" s="460"/>
      <c r="AP100" s="460"/>
    </row>
    <row r="101" spans="1:42" s="424" customFormat="1">
      <c r="A101" s="432" t="s">
        <v>433</v>
      </c>
      <c r="B101" s="435" t="s">
        <v>437</v>
      </c>
      <c r="C101" s="488">
        <f t="shared" si="220"/>
        <v>4311</v>
      </c>
      <c r="D101" s="488">
        <f t="shared" si="221"/>
        <v>4311</v>
      </c>
      <c r="E101" s="460">
        <f t="shared" si="57"/>
        <v>4311</v>
      </c>
      <c r="F101" s="460">
        <v>4311</v>
      </c>
      <c r="G101" s="460"/>
      <c r="H101" s="460">
        <f t="shared" si="58"/>
        <v>0</v>
      </c>
      <c r="I101" s="460"/>
      <c r="J101" s="460"/>
      <c r="K101" s="489">
        <f t="shared" si="159"/>
        <v>0</v>
      </c>
      <c r="L101" s="489">
        <f t="shared" si="160"/>
        <v>0</v>
      </c>
      <c r="M101" s="460"/>
      <c r="N101" s="489">
        <f t="shared" si="161"/>
        <v>0</v>
      </c>
      <c r="O101" s="489">
        <f t="shared" si="162"/>
        <v>0</v>
      </c>
      <c r="P101" s="460"/>
      <c r="Q101" s="462">
        <f t="shared" si="223"/>
        <v>0</v>
      </c>
      <c r="R101" s="462">
        <f t="shared" si="224"/>
        <v>0</v>
      </c>
      <c r="S101" s="462">
        <f t="shared" si="225"/>
        <v>0</v>
      </c>
      <c r="T101" s="462"/>
      <c r="U101" s="462"/>
      <c r="V101" s="462"/>
      <c r="W101" s="462"/>
      <c r="X101" s="462"/>
      <c r="Y101" s="462"/>
      <c r="Z101" s="462">
        <f t="shared" si="226"/>
        <v>0</v>
      </c>
      <c r="AA101" s="462"/>
      <c r="AB101" s="462"/>
      <c r="AC101" s="462"/>
      <c r="AD101" s="462">
        <f t="shared" si="227"/>
        <v>0</v>
      </c>
      <c r="AE101" s="462">
        <f t="shared" si="228"/>
        <v>0</v>
      </c>
      <c r="AF101" s="462">
        <f t="shared" si="229"/>
        <v>0</v>
      </c>
      <c r="AG101" s="460"/>
      <c r="AH101" s="460"/>
      <c r="AI101" s="460"/>
      <c r="AJ101" s="460"/>
      <c r="AK101" s="460"/>
      <c r="AL101" s="462">
        <f t="shared" si="230"/>
        <v>0</v>
      </c>
      <c r="AM101" s="460"/>
      <c r="AN101" s="460"/>
      <c r="AO101" s="460"/>
      <c r="AP101" s="460"/>
    </row>
    <row r="102" spans="1:42">
      <c r="A102" s="431" t="s">
        <v>101</v>
      </c>
      <c r="B102" s="480" t="s">
        <v>402</v>
      </c>
      <c r="C102" s="488">
        <f t="shared" si="220"/>
        <v>2864</v>
      </c>
      <c r="D102" s="488">
        <f t="shared" si="221"/>
        <v>2864</v>
      </c>
      <c r="E102" s="462">
        <f t="shared" si="57"/>
        <v>2864</v>
      </c>
      <c r="F102" s="462">
        <f>SUM(F103:F104)</f>
        <v>0</v>
      </c>
      <c r="G102" s="462">
        <f>SUM(G103:G104)</f>
        <v>2864</v>
      </c>
      <c r="H102" s="460">
        <f t="shared" si="58"/>
        <v>0</v>
      </c>
      <c r="I102" s="462">
        <f>SUM(I103:I104)</f>
        <v>0</v>
      </c>
      <c r="J102" s="462">
        <f>SUM(J103:J104)</f>
        <v>0</v>
      </c>
      <c r="K102" s="489">
        <f t="shared" si="159"/>
        <v>0</v>
      </c>
      <c r="L102" s="489">
        <f t="shared" si="160"/>
        <v>0</v>
      </c>
      <c r="M102" s="462">
        <f>SUM(M103:M104)</f>
        <v>0</v>
      </c>
      <c r="N102" s="489">
        <f t="shared" si="161"/>
        <v>0</v>
      </c>
      <c r="O102" s="489">
        <f t="shared" si="162"/>
        <v>0</v>
      </c>
      <c r="P102" s="462">
        <f>SUM(P103:P104)</f>
        <v>0</v>
      </c>
      <c r="Q102" s="462">
        <f t="shared" ref="Q102:AP102" si="231">SUM(Q103:Q104)</f>
        <v>0</v>
      </c>
      <c r="R102" s="462">
        <f t="shared" si="231"/>
        <v>0</v>
      </c>
      <c r="S102" s="462">
        <f t="shared" si="231"/>
        <v>0</v>
      </c>
      <c r="T102" s="462">
        <f t="shared" si="231"/>
        <v>0</v>
      </c>
      <c r="U102" s="462">
        <f t="shared" si="231"/>
        <v>0</v>
      </c>
      <c r="V102" s="462">
        <f t="shared" si="231"/>
        <v>0</v>
      </c>
      <c r="W102" s="462">
        <f t="shared" si="231"/>
        <v>0</v>
      </c>
      <c r="X102" s="462">
        <f t="shared" si="231"/>
        <v>0</v>
      </c>
      <c r="Y102" s="462">
        <f t="shared" si="231"/>
        <v>0</v>
      </c>
      <c r="Z102" s="462">
        <f t="shared" si="231"/>
        <v>0</v>
      </c>
      <c r="AA102" s="462">
        <f t="shared" si="231"/>
        <v>0</v>
      </c>
      <c r="AB102" s="462">
        <f t="shared" si="231"/>
        <v>0</v>
      </c>
      <c r="AC102" s="462">
        <f t="shared" si="231"/>
        <v>0</v>
      </c>
      <c r="AD102" s="462">
        <f t="shared" si="231"/>
        <v>0</v>
      </c>
      <c r="AE102" s="462">
        <f t="shared" si="231"/>
        <v>0</v>
      </c>
      <c r="AF102" s="462">
        <f t="shared" si="231"/>
        <v>0</v>
      </c>
      <c r="AG102" s="462">
        <f t="shared" si="231"/>
        <v>0</v>
      </c>
      <c r="AH102" s="462">
        <f t="shared" si="231"/>
        <v>0</v>
      </c>
      <c r="AI102" s="462">
        <f t="shared" si="231"/>
        <v>0</v>
      </c>
      <c r="AJ102" s="462">
        <f t="shared" si="231"/>
        <v>0</v>
      </c>
      <c r="AK102" s="462">
        <f t="shared" si="231"/>
        <v>0</v>
      </c>
      <c r="AL102" s="462">
        <f t="shared" si="231"/>
        <v>0</v>
      </c>
      <c r="AM102" s="462">
        <f t="shared" si="231"/>
        <v>0</v>
      </c>
      <c r="AN102" s="462">
        <f t="shared" si="231"/>
        <v>0</v>
      </c>
      <c r="AO102" s="462">
        <f t="shared" si="231"/>
        <v>0</v>
      </c>
      <c r="AP102" s="462">
        <f t="shared" si="231"/>
        <v>0</v>
      </c>
    </row>
    <row r="103" spans="1:42">
      <c r="A103" s="431" t="s">
        <v>433</v>
      </c>
      <c r="B103" s="435" t="s">
        <v>446</v>
      </c>
      <c r="C103" s="488">
        <f t="shared" si="220"/>
        <v>428</v>
      </c>
      <c r="D103" s="488">
        <f t="shared" si="221"/>
        <v>428</v>
      </c>
      <c r="E103" s="462">
        <f t="shared" si="57"/>
        <v>428</v>
      </c>
      <c r="F103" s="462"/>
      <c r="G103" s="462">
        <v>428</v>
      </c>
      <c r="H103" s="460">
        <f t="shared" si="58"/>
        <v>0</v>
      </c>
      <c r="I103" s="462"/>
      <c r="J103" s="462"/>
      <c r="K103" s="489">
        <f t="shared" si="159"/>
        <v>0</v>
      </c>
      <c r="L103" s="489">
        <f t="shared" si="160"/>
        <v>0</v>
      </c>
      <c r="M103" s="462"/>
      <c r="N103" s="489">
        <f t="shared" si="161"/>
        <v>0</v>
      </c>
      <c r="O103" s="489">
        <f t="shared" si="162"/>
        <v>0</v>
      </c>
      <c r="P103" s="462"/>
      <c r="Q103" s="462">
        <f t="shared" ref="Q103:Q105" si="232">R103+S103</f>
        <v>0</v>
      </c>
      <c r="R103" s="462">
        <f t="shared" ref="R103:R105" si="233">T103+U103+V103+W103+X103+Y103+AA103</f>
        <v>0</v>
      </c>
      <c r="S103" s="462">
        <f t="shared" ref="S103:S105" si="234">AB103</f>
        <v>0</v>
      </c>
      <c r="T103" s="462"/>
      <c r="U103" s="462"/>
      <c r="V103" s="462"/>
      <c r="W103" s="462"/>
      <c r="X103" s="462"/>
      <c r="Y103" s="462"/>
      <c r="Z103" s="462">
        <f t="shared" ref="Z103:Z105" si="235">AB103+AA103</f>
        <v>0</v>
      </c>
      <c r="AA103" s="462"/>
      <c r="AB103" s="462"/>
      <c r="AC103" s="462"/>
      <c r="AD103" s="462">
        <f t="shared" ref="AD103:AD105" si="236">AE103+AF103</f>
        <v>0</v>
      </c>
      <c r="AE103" s="462">
        <f t="shared" ref="AE103:AE105" si="237">AG103+AH103+AI103+AJ103+AK103+AM103+AO103+AP103</f>
        <v>0</v>
      </c>
      <c r="AF103" s="462">
        <f t="shared" ref="AF103:AF105" si="238">AN103</f>
        <v>0</v>
      </c>
      <c r="AG103" s="462"/>
      <c r="AH103" s="462"/>
      <c r="AI103" s="462"/>
      <c r="AJ103" s="462"/>
      <c r="AK103" s="462"/>
      <c r="AL103" s="462">
        <f t="shared" ref="AL103:AL105" si="239">AM103+AN103</f>
        <v>0</v>
      </c>
      <c r="AM103" s="462"/>
      <c r="AN103" s="462"/>
      <c r="AO103" s="462"/>
      <c r="AP103" s="462"/>
    </row>
    <row r="104" spans="1:42">
      <c r="A104" s="431" t="s">
        <v>433</v>
      </c>
      <c r="B104" s="435" t="s">
        <v>402</v>
      </c>
      <c r="C104" s="488">
        <f t="shared" si="220"/>
        <v>2436</v>
      </c>
      <c r="D104" s="488">
        <f t="shared" si="221"/>
        <v>2436</v>
      </c>
      <c r="E104" s="462">
        <f t="shared" si="57"/>
        <v>2436</v>
      </c>
      <c r="F104" s="462"/>
      <c r="G104" s="462">
        <f>2400+50-14</f>
        <v>2436</v>
      </c>
      <c r="H104" s="460">
        <f t="shared" si="58"/>
        <v>0</v>
      </c>
      <c r="I104" s="462"/>
      <c r="J104" s="462"/>
      <c r="K104" s="489">
        <f t="shared" si="159"/>
        <v>0</v>
      </c>
      <c r="L104" s="489">
        <f t="shared" si="160"/>
        <v>0</v>
      </c>
      <c r="M104" s="462"/>
      <c r="N104" s="489">
        <f t="shared" si="161"/>
        <v>0</v>
      </c>
      <c r="O104" s="489">
        <f t="shared" si="162"/>
        <v>0</v>
      </c>
      <c r="P104" s="462"/>
      <c r="Q104" s="462">
        <f t="shared" si="232"/>
        <v>0</v>
      </c>
      <c r="R104" s="462">
        <f t="shared" si="233"/>
        <v>0</v>
      </c>
      <c r="S104" s="462">
        <f t="shared" si="234"/>
        <v>0</v>
      </c>
      <c r="T104" s="462"/>
      <c r="U104" s="462"/>
      <c r="V104" s="462"/>
      <c r="W104" s="462"/>
      <c r="X104" s="462"/>
      <c r="Y104" s="462"/>
      <c r="Z104" s="462">
        <f t="shared" si="235"/>
        <v>0</v>
      </c>
      <c r="AA104" s="462"/>
      <c r="AB104" s="462"/>
      <c r="AC104" s="462"/>
      <c r="AD104" s="462">
        <f t="shared" si="236"/>
        <v>0</v>
      </c>
      <c r="AE104" s="462">
        <f t="shared" si="237"/>
        <v>0</v>
      </c>
      <c r="AF104" s="462">
        <f t="shared" si="238"/>
        <v>0</v>
      </c>
      <c r="AG104" s="462"/>
      <c r="AH104" s="462"/>
      <c r="AI104" s="462"/>
      <c r="AJ104" s="462"/>
      <c r="AK104" s="462"/>
      <c r="AL104" s="462">
        <f t="shared" si="239"/>
        <v>0</v>
      </c>
      <c r="AM104" s="462"/>
      <c r="AN104" s="462"/>
      <c r="AO104" s="462"/>
      <c r="AP104" s="462"/>
    </row>
    <row r="105" spans="1:42">
      <c r="A105" s="431"/>
      <c r="B105" s="435" t="s">
        <v>447</v>
      </c>
      <c r="C105" s="488">
        <f t="shared" si="220"/>
        <v>243.60000000000002</v>
      </c>
      <c r="D105" s="488">
        <f t="shared" si="221"/>
        <v>243.60000000000002</v>
      </c>
      <c r="E105" s="462">
        <f t="shared" si="57"/>
        <v>243.60000000000002</v>
      </c>
      <c r="F105" s="462"/>
      <c r="G105" s="462">
        <f>G104*10%</f>
        <v>243.60000000000002</v>
      </c>
      <c r="H105" s="460">
        <f t="shared" si="58"/>
        <v>0</v>
      </c>
      <c r="I105" s="462"/>
      <c r="J105" s="462"/>
      <c r="K105" s="489">
        <f t="shared" si="159"/>
        <v>0</v>
      </c>
      <c r="L105" s="489">
        <f t="shared" si="160"/>
        <v>0</v>
      </c>
      <c r="M105" s="462"/>
      <c r="N105" s="489">
        <f t="shared" si="161"/>
        <v>0</v>
      </c>
      <c r="O105" s="489">
        <f t="shared" si="162"/>
        <v>0</v>
      </c>
      <c r="P105" s="462"/>
      <c r="Q105" s="462">
        <f t="shared" si="232"/>
        <v>0</v>
      </c>
      <c r="R105" s="462">
        <f t="shared" si="233"/>
        <v>0</v>
      </c>
      <c r="S105" s="462">
        <f t="shared" si="234"/>
        <v>0</v>
      </c>
      <c r="T105" s="462"/>
      <c r="U105" s="462"/>
      <c r="V105" s="462"/>
      <c r="W105" s="462"/>
      <c r="X105" s="462"/>
      <c r="Y105" s="462"/>
      <c r="Z105" s="462">
        <f t="shared" si="235"/>
        <v>0</v>
      </c>
      <c r="AA105" s="462"/>
      <c r="AB105" s="462"/>
      <c r="AC105" s="462"/>
      <c r="AD105" s="462">
        <f t="shared" si="236"/>
        <v>0</v>
      </c>
      <c r="AE105" s="462">
        <f t="shared" si="237"/>
        <v>0</v>
      </c>
      <c r="AF105" s="462">
        <f t="shared" si="238"/>
        <v>0</v>
      </c>
      <c r="AG105" s="462"/>
      <c r="AH105" s="462"/>
      <c r="AI105" s="462"/>
      <c r="AJ105" s="462"/>
      <c r="AK105" s="462"/>
      <c r="AL105" s="462">
        <f t="shared" si="239"/>
        <v>0</v>
      </c>
      <c r="AM105" s="462"/>
      <c r="AN105" s="462"/>
      <c r="AO105" s="462"/>
      <c r="AP105" s="462"/>
    </row>
    <row r="106" spans="1:42" s="434" customFormat="1" ht="31.5">
      <c r="A106" s="561">
        <v>8</v>
      </c>
      <c r="B106" s="433" t="s">
        <v>393</v>
      </c>
      <c r="C106" s="489">
        <f>C107+C110</f>
        <v>56983</v>
      </c>
      <c r="D106" s="489">
        <f>D107+D110</f>
        <v>51583</v>
      </c>
      <c r="E106" s="495">
        <f t="shared" si="57"/>
        <v>29529</v>
      </c>
      <c r="F106" s="495">
        <f>F107+F110</f>
        <v>25125</v>
      </c>
      <c r="G106" s="495">
        <f>G107+G110</f>
        <v>4404</v>
      </c>
      <c r="H106" s="495">
        <f t="shared" si="58"/>
        <v>27454</v>
      </c>
      <c r="I106" s="495">
        <f>I107+I110</f>
        <v>27454</v>
      </c>
      <c r="J106" s="495">
        <f>J107+J110</f>
        <v>0</v>
      </c>
      <c r="K106" s="489">
        <f t="shared" si="159"/>
        <v>0</v>
      </c>
      <c r="L106" s="489">
        <f t="shared" si="160"/>
        <v>0</v>
      </c>
      <c r="M106" s="495">
        <f>M107+M110</f>
        <v>0</v>
      </c>
      <c r="N106" s="489">
        <f t="shared" si="161"/>
        <v>0</v>
      </c>
      <c r="O106" s="489">
        <f t="shared" si="162"/>
        <v>0</v>
      </c>
      <c r="P106" s="495">
        <f>P107+P110</f>
        <v>0</v>
      </c>
      <c r="Q106" s="495">
        <f t="shared" ref="Q106:AP106" si="240">Q107+Q110</f>
        <v>0</v>
      </c>
      <c r="R106" s="495">
        <f t="shared" si="240"/>
        <v>0</v>
      </c>
      <c r="S106" s="495">
        <f t="shared" si="240"/>
        <v>0</v>
      </c>
      <c r="T106" s="495">
        <f t="shared" si="240"/>
        <v>0</v>
      </c>
      <c r="U106" s="495">
        <f t="shared" si="240"/>
        <v>0</v>
      </c>
      <c r="V106" s="495">
        <f t="shared" si="240"/>
        <v>0</v>
      </c>
      <c r="W106" s="495">
        <f t="shared" si="240"/>
        <v>0</v>
      </c>
      <c r="X106" s="495">
        <f t="shared" si="240"/>
        <v>0</v>
      </c>
      <c r="Y106" s="495">
        <f t="shared" si="240"/>
        <v>0</v>
      </c>
      <c r="Z106" s="495">
        <f t="shared" si="240"/>
        <v>0</v>
      </c>
      <c r="AA106" s="495">
        <f t="shared" si="240"/>
        <v>0</v>
      </c>
      <c r="AB106" s="495">
        <f t="shared" si="240"/>
        <v>0</v>
      </c>
      <c r="AC106" s="495">
        <f t="shared" si="240"/>
        <v>0</v>
      </c>
      <c r="AD106" s="495">
        <f t="shared" si="240"/>
        <v>-5400</v>
      </c>
      <c r="AE106" s="495">
        <f t="shared" si="240"/>
        <v>0</v>
      </c>
      <c r="AF106" s="495">
        <f t="shared" si="240"/>
        <v>-5400</v>
      </c>
      <c r="AG106" s="495">
        <f t="shared" si="240"/>
        <v>0</v>
      </c>
      <c r="AH106" s="495">
        <f t="shared" si="240"/>
        <v>0</v>
      </c>
      <c r="AI106" s="495">
        <f t="shared" si="240"/>
        <v>0</v>
      </c>
      <c r="AJ106" s="495">
        <f t="shared" si="240"/>
        <v>0</v>
      </c>
      <c r="AK106" s="495">
        <f t="shared" si="240"/>
        <v>0</v>
      </c>
      <c r="AL106" s="495">
        <f t="shared" si="240"/>
        <v>-5400</v>
      </c>
      <c r="AM106" s="495">
        <f t="shared" si="240"/>
        <v>0</v>
      </c>
      <c r="AN106" s="495">
        <f t="shared" si="240"/>
        <v>-5400</v>
      </c>
      <c r="AO106" s="495">
        <f t="shared" si="240"/>
        <v>0</v>
      </c>
      <c r="AP106" s="495">
        <f t="shared" si="240"/>
        <v>0</v>
      </c>
    </row>
    <row r="107" spans="1:42">
      <c r="A107" s="431" t="s">
        <v>111</v>
      </c>
      <c r="B107" s="436" t="s">
        <v>401</v>
      </c>
      <c r="C107" s="488">
        <f t="shared" ref="C107:C113" si="241">E107+H107</f>
        <v>52579</v>
      </c>
      <c r="D107" s="488">
        <f t="shared" ref="D107:D113" si="242">E107+H107+M107+P107+Q107+AD107</f>
        <v>47179</v>
      </c>
      <c r="E107" s="462">
        <f t="shared" si="57"/>
        <v>25125</v>
      </c>
      <c r="F107" s="462">
        <f>F108+F109</f>
        <v>25125</v>
      </c>
      <c r="G107" s="462">
        <f>G108+G109</f>
        <v>0</v>
      </c>
      <c r="H107" s="462">
        <f t="shared" si="58"/>
        <v>27454</v>
      </c>
      <c r="I107" s="462">
        <f>I108+I109</f>
        <v>27454</v>
      </c>
      <c r="J107" s="462">
        <f>J108+J109</f>
        <v>0</v>
      </c>
      <c r="K107" s="489">
        <f t="shared" si="159"/>
        <v>0</v>
      </c>
      <c r="L107" s="489">
        <f t="shared" si="160"/>
        <v>0</v>
      </c>
      <c r="M107" s="462">
        <f>M108+M109</f>
        <v>0</v>
      </c>
      <c r="N107" s="489">
        <f t="shared" si="161"/>
        <v>0</v>
      </c>
      <c r="O107" s="489">
        <f t="shared" si="162"/>
        <v>0</v>
      </c>
      <c r="P107" s="462">
        <f>P108+P109</f>
        <v>0</v>
      </c>
      <c r="Q107" s="462">
        <f t="shared" ref="Q107:AP107" si="243">Q108+Q109</f>
        <v>0</v>
      </c>
      <c r="R107" s="462">
        <f t="shared" si="243"/>
        <v>0</v>
      </c>
      <c r="S107" s="462">
        <f t="shared" si="243"/>
        <v>0</v>
      </c>
      <c r="T107" s="462">
        <f t="shared" si="243"/>
        <v>0</v>
      </c>
      <c r="U107" s="462">
        <f t="shared" si="243"/>
        <v>0</v>
      </c>
      <c r="V107" s="462">
        <f t="shared" si="243"/>
        <v>0</v>
      </c>
      <c r="W107" s="462">
        <f t="shared" si="243"/>
        <v>0</v>
      </c>
      <c r="X107" s="462">
        <f t="shared" si="243"/>
        <v>0</v>
      </c>
      <c r="Y107" s="462">
        <f t="shared" si="243"/>
        <v>0</v>
      </c>
      <c r="Z107" s="462">
        <f t="shared" si="243"/>
        <v>0</v>
      </c>
      <c r="AA107" s="462">
        <f t="shared" si="243"/>
        <v>0</v>
      </c>
      <c r="AB107" s="462">
        <f t="shared" si="243"/>
        <v>0</v>
      </c>
      <c r="AC107" s="462">
        <f t="shared" si="243"/>
        <v>0</v>
      </c>
      <c r="AD107" s="462">
        <f t="shared" si="243"/>
        <v>-5400</v>
      </c>
      <c r="AE107" s="462">
        <f t="shared" si="243"/>
        <v>0</v>
      </c>
      <c r="AF107" s="462">
        <f t="shared" si="243"/>
        <v>-5400</v>
      </c>
      <c r="AG107" s="462">
        <f t="shared" si="243"/>
        <v>0</v>
      </c>
      <c r="AH107" s="462">
        <f t="shared" si="243"/>
        <v>0</v>
      </c>
      <c r="AI107" s="462">
        <f t="shared" si="243"/>
        <v>0</v>
      </c>
      <c r="AJ107" s="462">
        <f t="shared" si="243"/>
        <v>0</v>
      </c>
      <c r="AK107" s="462">
        <f t="shared" si="243"/>
        <v>0</v>
      </c>
      <c r="AL107" s="462">
        <f t="shared" si="243"/>
        <v>-5400</v>
      </c>
      <c r="AM107" s="462">
        <f t="shared" si="243"/>
        <v>0</v>
      </c>
      <c r="AN107" s="462">
        <f t="shared" si="243"/>
        <v>-5400</v>
      </c>
      <c r="AO107" s="462">
        <f t="shared" si="243"/>
        <v>0</v>
      </c>
      <c r="AP107" s="462">
        <f t="shared" si="243"/>
        <v>0</v>
      </c>
    </row>
    <row r="108" spans="1:42" s="424" customFormat="1">
      <c r="A108" s="432" t="s">
        <v>433</v>
      </c>
      <c r="B108" s="435" t="s">
        <v>37</v>
      </c>
      <c r="C108" s="488">
        <f t="shared" si="241"/>
        <v>23102</v>
      </c>
      <c r="D108" s="488">
        <f t="shared" si="242"/>
        <v>23102</v>
      </c>
      <c r="E108" s="460">
        <f t="shared" si="57"/>
        <v>1048</v>
      </c>
      <c r="F108" s="460">
        <v>1048</v>
      </c>
      <c r="G108" s="460"/>
      <c r="H108" s="460">
        <f t="shared" si="58"/>
        <v>22054</v>
      </c>
      <c r="I108" s="460">
        <v>22054</v>
      </c>
      <c r="J108" s="460"/>
      <c r="K108" s="489">
        <f t="shared" si="159"/>
        <v>0</v>
      </c>
      <c r="L108" s="489">
        <f t="shared" si="160"/>
        <v>0</v>
      </c>
      <c r="M108" s="460"/>
      <c r="N108" s="489">
        <f t="shared" si="161"/>
        <v>0</v>
      </c>
      <c r="O108" s="489">
        <f t="shared" si="162"/>
        <v>0</v>
      </c>
      <c r="P108" s="460"/>
      <c r="Q108" s="462">
        <f t="shared" ref="Q108:Q109" si="244">R108+S108</f>
        <v>0</v>
      </c>
      <c r="R108" s="462">
        <f t="shared" ref="R108:R109" si="245">T108+U108+V108+W108+X108+Y108+AA108</f>
        <v>0</v>
      </c>
      <c r="S108" s="462">
        <f t="shared" ref="S108:S109" si="246">AB108</f>
        <v>0</v>
      </c>
      <c r="T108" s="462"/>
      <c r="U108" s="462"/>
      <c r="V108" s="462"/>
      <c r="W108" s="462"/>
      <c r="X108" s="462"/>
      <c r="Y108" s="462"/>
      <c r="Z108" s="462">
        <f t="shared" ref="Z108:Z109" si="247">AB108+AA108</f>
        <v>0</v>
      </c>
      <c r="AA108" s="462"/>
      <c r="AB108" s="462"/>
      <c r="AC108" s="462"/>
      <c r="AD108" s="462">
        <f t="shared" ref="AD108:AD109" si="248">AE108+AF108</f>
        <v>0</v>
      </c>
      <c r="AE108" s="462">
        <f t="shared" ref="AE108:AE109" si="249">AG108+AH108+AI108+AJ108+AK108+AM108+AO108+AP108</f>
        <v>0</v>
      </c>
      <c r="AF108" s="462">
        <f t="shared" ref="AF108:AF109" si="250">AN108</f>
        <v>0</v>
      </c>
      <c r="AG108" s="460"/>
      <c r="AH108" s="460"/>
      <c r="AI108" s="460"/>
      <c r="AJ108" s="460"/>
      <c r="AK108" s="460"/>
      <c r="AL108" s="462">
        <f t="shared" ref="AL108:AL109" si="251">AM108+AN108</f>
        <v>0</v>
      </c>
      <c r="AM108" s="460"/>
      <c r="AN108" s="460"/>
      <c r="AO108" s="460"/>
      <c r="AP108" s="460"/>
    </row>
    <row r="109" spans="1:42" s="424" customFormat="1">
      <c r="A109" s="432" t="s">
        <v>433</v>
      </c>
      <c r="B109" s="435" t="s">
        <v>437</v>
      </c>
      <c r="C109" s="488">
        <f t="shared" si="241"/>
        <v>29477</v>
      </c>
      <c r="D109" s="488">
        <f t="shared" si="242"/>
        <v>24077</v>
      </c>
      <c r="E109" s="460">
        <f t="shared" si="57"/>
        <v>24077</v>
      </c>
      <c r="F109" s="460">
        <f>3537+20540</f>
        <v>24077</v>
      </c>
      <c r="G109" s="460"/>
      <c r="H109" s="460">
        <f t="shared" si="58"/>
        <v>5400</v>
      </c>
      <c r="I109" s="460">
        <v>5400</v>
      </c>
      <c r="J109" s="460"/>
      <c r="K109" s="489">
        <f t="shared" si="159"/>
        <v>0</v>
      </c>
      <c r="L109" s="489">
        <f t="shared" si="160"/>
        <v>0</v>
      </c>
      <c r="M109" s="460"/>
      <c r="N109" s="489">
        <f t="shared" si="161"/>
        <v>0</v>
      </c>
      <c r="O109" s="489">
        <f t="shared" si="162"/>
        <v>0</v>
      </c>
      <c r="P109" s="460"/>
      <c r="Q109" s="462">
        <f t="shared" si="244"/>
        <v>0</v>
      </c>
      <c r="R109" s="462">
        <f t="shared" si="245"/>
        <v>0</v>
      </c>
      <c r="S109" s="462">
        <f t="shared" si="246"/>
        <v>0</v>
      </c>
      <c r="T109" s="462"/>
      <c r="U109" s="462"/>
      <c r="V109" s="462"/>
      <c r="W109" s="462"/>
      <c r="X109" s="462"/>
      <c r="Y109" s="462"/>
      <c r="Z109" s="462">
        <f t="shared" si="247"/>
        <v>0</v>
      </c>
      <c r="AA109" s="462"/>
      <c r="AB109" s="462"/>
      <c r="AC109" s="462"/>
      <c r="AD109" s="462">
        <f t="shared" si="248"/>
        <v>-5400</v>
      </c>
      <c r="AE109" s="462">
        <f t="shared" si="249"/>
        <v>0</v>
      </c>
      <c r="AF109" s="462">
        <f t="shared" si="250"/>
        <v>-5400</v>
      </c>
      <c r="AG109" s="460"/>
      <c r="AH109" s="460"/>
      <c r="AI109" s="460"/>
      <c r="AJ109" s="460"/>
      <c r="AK109" s="460"/>
      <c r="AL109" s="462">
        <f t="shared" si="251"/>
        <v>-5400</v>
      </c>
      <c r="AM109" s="460"/>
      <c r="AN109" s="460">
        <v>-5400</v>
      </c>
      <c r="AO109" s="460"/>
      <c r="AP109" s="460"/>
    </row>
    <row r="110" spans="1:42">
      <c r="A110" s="431" t="s">
        <v>112</v>
      </c>
      <c r="B110" s="480" t="s">
        <v>402</v>
      </c>
      <c r="C110" s="488">
        <f t="shared" si="241"/>
        <v>4404</v>
      </c>
      <c r="D110" s="488">
        <f t="shared" si="242"/>
        <v>4404</v>
      </c>
      <c r="E110" s="462">
        <f t="shared" si="57"/>
        <v>4404</v>
      </c>
      <c r="F110" s="462">
        <f>SUM(F111:F112)</f>
        <v>0</v>
      </c>
      <c r="G110" s="462">
        <f>SUM(G111:G112)</f>
        <v>4404</v>
      </c>
      <c r="H110" s="462">
        <f t="shared" si="58"/>
        <v>0</v>
      </c>
      <c r="I110" s="462">
        <f>SUM(I111:I112)</f>
        <v>0</v>
      </c>
      <c r="J110" s="462">
        <f>SUM(J111:J112)</f>
        <v>0</v>
      </c>
      <c r="K110" s="489">
        <f t="shared" si="159"/>
        <v>0</v>
      </c>
      <c r="L110" s="489">
        <f t="shared" si="160"/>
        <v>0</v>
      </c>
      <c r="M110" s="462">
        <f>SUM(M111:M112)</f>
        <v>0</v>
      </c>
      <c r="N110" s="489">
        <f t="shared" si="161"/>
        <v>0</v>
      </c>
      <c r="O110" s="489">
        <f t="shared" si="162"/>
        <v>0</v>
      </c>
      <c r="P110" s="462">
        <f>SUM(P111:P112)</f>
        <v>0</v>
      </c>
      <c r="Q110" s="462">
        <f t="shared" ref="Q110:AP110" si="252">SUM(Q111:Q112)</f>
        <v>0</v>
      </c>
      <c r="R110" s="462">
        <f t="shared" si="252"/>
        <v>0</v>
      </c>
      <c r="S110" s="462">
        <f t="shared" si="252"/>
        <v>0</v>
      </c>
      <c r="T110" s="462">
        <f t="shared" si="252"/>
        <v>0</v>
      </c>
      <c r="U110" s="462">
        <f t="shared" si="252"/>
        <v>0</v>
      </c>
      <c r="V110" s="462">
        <f t="shared" si="252"/>
        <v>0</v>
      </c>
      <c r="W110" s="462">
        <f t="shared" si="252"/>
        <v>0</v>
      </c>
      <c r="X110" s="462">
        <f t="shared" si="252"/>
        <v>0</v>
      </c>
      <c r="Y110" s="462">
        <f t="shared" si="252"/>
        <v>0</v>
      </c>
      <c r="Z110" s="462">
        <f t="shared" si="252"/>
        <v>0</v>
      </c>
      <c r="AA110" s="462">
        <f t="shared" si="252"/>
        <v>0</v>
      </c>
      <c r="AB110" s="462">
        <f t="shared" si="252"/>
        <v>0</v>
      </c>
      <c r="AC110" s="462">
        <f t="shared" si="252"/>
        <v>0</v>
      </c>
      <c r="AD110" s="462">
        <f t="shared" si="252"/>
        <v>0</v>
      </c>
      <c r="AE110" s="462">
        <f t="shared" si="252"/>
        <v>0</v>
      </c>
      <c r="AF110" s="462">
        <f t="shared" si="252"/>
        <v>0</v>
      </c>
      <c r="AG110" s="462">
        <f t="shared" si="252"/>
        <v>0</v>
      </c>
      <c r="AH110" s="462">
        <f t="shared" si="252"/>
        <v>0</v>
      </c>
      <c r="AI110" s="462">
        <f t="shared" si="252"/>
        <v>0</v>
      </c>
      <c r="AJ110" s="462">
        <f t="shared" si="252"/>
        <v>0</v>
      </c>
      <c r="AK110" s="462">
        <f t="shared" si="252"/>
        <v>0</v>
      </c>
      <c r="AL110" s="462">
        <f t="shared" si="252"/>
        <v>0</v>
      </c>
      <c r="AM110" s="462">
        <f t="shared" si="252"/>
        <v>0</v>
      </c>
      <c r="AN110" s="462">
        <f t="shared" si="252"/>
        <v>0</v>
      </c>
      <c r="AO110" s="462">
        <f t="shared" si="252"/>
        <v>0</v>
      </c>
      <c r="AP110" s="462">
        <f t="shared" si="252"/>
        <v>0</v>
      </c>
    </row>
    <row r="111" spans="1:42">
      <c r="A111" s="431" t="s">
        <v>257</v>
      </c>
      <c r="B111" s="435" t="s">
        <v>446</v>
      </c>
      <c r="C111" s="488">
        <f t="shared" si="241"/>
        <v>444</v>
      </c>
      <c r="D111" s="488">
        <f t="shared" si="242"/>
        <v>444</v>
      </c>
      <c r="E111" s="462">
        <f t="shared" si="57"/>
        <v>444</v>
      </c>
      <c r="F111" s="462"/>
      <c r="G111" s="462">
        <v>444</v>
      </c>
      <c r="H111" s="462">
        <f t="shared" si="58"/>
        <v>0</v>
      </c>
      <c r="I111" s="462"/>
      <c r="J111" s="462"/>
      <c r="K111" s="489">
        <f t="shared" si="159"/>
        <v>0</v>
      </c>
      <c r="L111" s="489">
        <f t="shared" si="160"/>
        <v>0</v>
      </c>
      <c r="M111" s="462"/>
      <c r="N111" s="489">
        <f t="shared" si="161"/>
        <v>0</v>
      </c>
      <c r="O111" s="489">
        <f t="shared" si="162"/>
        <v>0</v>
      </c>
      <c r="P111" s="462"/>
      <c r="Q111" s="462">
        <f t="shared" ref="Q111:Q113" si="253">R111+S111</f>
        <v>0</v>
      </c>
      <c r="R111" s="462">
        <f t="shared" ref="R111:R113" si="254">T111+U111+V111+W111+X111+Y111+AA111</f>
        <v>0</v>
      </c>
      <c r="S111" s="462">
        <f t="shared" ref="S111:S113" si="255">AB111</f>
        <v>0</v>
      </c>
      <c r="T111" s="462"/>
      <c r="U111" s="462"/>
      <c r="V111" s="462"/>
      <c r="W111" s="462"/>
      <c r="X111" s="462"/>
      <c r="Y111" s="462"/>
      <c r="Z111" s="462">
        <f t="shared" ref="Z111:Z113" si="256">AB111+AA111</f>
        <v>0</v>
      </c>
      <c r="AA111" s="462"/>
      <c r="AB111" s="462"/>
      <c r="AC111" s="462"/>
      <c r="AD111" s="462">
        <f t="shared" ref="AD111:AD113" si="257">AE111+AF111</f>
        <v>0</v>
      </c>
      <c r="AE111" s="462">
        <f t="shared" ref="AE111:AE113" si="258">AG111+AH111+AI111+AJ111+AK111+AM111+AO111+AP111</f>
        <v>0</v>
      </c>
      <c r="AF111" s="462">
        <f t="shared" ref="AF111:AF113" si="259">AN111</f>
        <v>0</v>
      </c>
      <c r="AG111" s="462"/>
      <c r="AH111" s="462"/>
      <c r="AI111" s="462"/>
      <c r="AJ111" s="462"/>
      <c r="AK111" s="462"/>
      <c r="AL111" s="462">
        <f t="shared" ref="AL111:AL113" si="260">AM111+AN111</f>
        <v>0</v>
      </c>
      <c r="AM111" s="462"/>
      <c r="AN111" s="462"/>
      <c r="AO111" s="462"/>
      <c r="AP111" s="462"/>
    </row>
    <row r="112" spans="1:42">
      <c r="A112" s="431" t="s">
        <v>433</v>
      </c>
      <c r="B112" s="435" t="s">
        <v>402</v>
      </c>
      <c r="C112" s="488">
        <f t="shared" si="241"/>
        <v>3960</v>
      </c>
      <c r="D112" s="488">
        <f t="shared" si="242"/>
        <v>3960</v>
      </c>
      <c r="E112" s="462">
        <f t="shared" si="57"/>
        <v>3960</v>
      </c>
      <c r="F112" s="462"/>
      <c r="G112" s="462">
        <f>4000-40</f>
        <v>3960</v>
      </c>
      <c r="H112" s="462">
        <f t="shared" si="58"/>
        <v>0</v>
      </c>
      <c r="I112" s="462"/>
      <c r="J112" s="462"/>
      <c r="K112" s="489">
        <f t="shared" si="159"/>
        <v>0</v>
      </c>
      <c r="L112" s="489">
        <f t="shared" si="160"/>
        <v>0</v>
      </c>
      <c r="M112" s="462"/>
      <c r="N112" s="489">
        <f t="shared" si="161"/>
        <v>0</v>
      </c>
      <c r="O112" s="489">
        <f t="shared" si="162"/>
        <v>0</v>
      </c>
      <c r="P112" s="462"/>
      <c r="Q112" s="462">
        <f t="shared" si="253"/>
        <v>0</v>
      </c>
      <c r="R112" s="462">
        <f t="shared" si="254"/>
        <v>0</v>
      </c>
      <c r="S112" s="462">
        <f t="shared" si="255"/>
        <v>0</v>
      </c>
      <c r="T112" s="462"/>
      <c r="U112" s="462"/>
      <c r="V112" s="462"/>
      <c r="W112" s="462"/>
      <c r="X112" s="462"/>
      <c r="Y112" s="462"/>
      <c r="Z112" s="462">
        <f t="shared" si="256"/>
        <v>0</v>
      </c>
      <c r="AA112" s="462"/>
      <c r="AB112" s="462"/>
      <c r="AC112" s="462"/>
      <c r="AD112" s="462">
        <f t="shared" si="257"/>
        <v>0</v>
      </c>
      <c r="AE112" s="462">
        <f t="shared" si="258"/>
        <v>0</v>
      </c>
      <c r="AF112" s="462">
        <f t="shared" si="259"/>
        <v>0</v>
      </c>
      <c r="AG112" s="462"/>
      <c r="AH112" s="462"/>
      <c r="AI112" s="462"/>
      <c r="AJ112" s="462"/>
      <c r="AK112" s="462"/>
      <c r="AL112" s="462">
        <f t="shared" si="260"/>
        <v>0</v>
      </c>
      <c r="AM112" s="462"/>
      <c r="AN112" s="462"/>
      <c r="AO112" s="462"/>
      <c r="AP112" s="462"/>
    </row>
    <row r="113" spans="1:42">
      <c r="A113" s="431"/>
      <c r="B113" s="435" t="s">
        <v>447</v>
      </c>
      <c r="C113" s="488">
        <f t="shared" si="241"/>
        <v>396</v>
      </c>
      <c r="D113" s="488">
        <f t="shared" si="242"/>
        <v>396</v>
      </c>
      <c r="E113" s="462">
        <f t="shared" si="57"/>
        <v>396</v>
      </c>
      <c r="F113" s="462"/>
      <c r="G113" s="462">
        <f>G112*10%</f>
        <v>396</v>
      </c>
      <c r="H113" s="462">
        <f t="shared" si="58"/>
        <v>0</v>
      </c>
      <c r="I113" s="462"/>
      <c r="J113" s="462"/>
      <c r="K113" s="489">
        <f t="shared" si="159"/>
        <v>0</v>
      </c>
      <c r="L113" s="489">
        <f t="shared" si="160"/>
        <v>0</v>
      </c>
      <c r="M113" s="462"/>
      <c r="N113" s="489">
        <f t="shared" si="161"/>
        <v>0</v>
      </c>
      <c r="O113" s="489">
        <f t="shared" si="162"/>
        <v>0</v>
      </c>
      <c r="P113" s="462"/>
      <c r="Q113" s="462">
        <f t="shared" si="253"/>
        <v>0</v>
      </c>
      <c r="R113" s="462">
        <f t="shared" si="254"/>
        <v>0</v>
      </c>
      <c r="S113" s="462">
        <f t="shared" si="255"/>
        <v>0</v>
      </c>
      <c r="T113" s="462"/>
      <c r="U113" s="462"/>
      <c r="V113" s="462"/>
      <c r="W113" s="462"/>
      <c r="X113" s="462"/>
      <c r="Y113" s="462"/>
      <c r="Z113" s="462">
        <f t="shared" si="256"/>
        <v>0</v>
      </c>
      <c r="AA113" s="462"/>
      <c r="AB113" s="462"/>
      <c r="AC113" s="462"/>
      <c r="AD113" s="462">
        <f t="shared" si="257"/>
        <v>0</v>
      </c>
      <c r="AE113" s="462">
        <f t="shared" si="258"/>
        <v>0</v>
      </c>
      <c r="AF113" s="462">
        <f t="shared" si="259"/>
        <v>0</v>
      </c>
      <c r="AG113" s="462"/>
      <c r="AH113" s="462"/>
      <c r="AI113" s="462"/>
      <c r="AJ113" s="462"/>
      <c r="AK113" s="462"/>
      <c r="AL113" s="462">
        <f t="shared" si="260"/>
        <v>0</v>
      </c>
      <c r="AM113" s="462"/>
      <c r="AN113" s="462"/>
      <c r="AO113" s="462"/>
      <c r="AP113" s="462"/>
    </row>
    <row r="114" spans="1:42" s="434" customFormat="1">
      <c r="A114" s="561">
        <v>9</v>
      </c>
      <c r="B114" s="433" t="s">
        <v>394</v>
      </c>
      <c r="C114" s="489">
        <f>C115+C126+C118</f>
        <v>917743</v>
      </c>
      <c r="D114" s="489">
        <f>D115+D118+D126</f>
        <v>510964</v>
      </c>
      <c r="E114" s="495">
        <f>F114+G114</f>
        <v>321205</v>
      </c>
      <c r="F114" s="495">
        <f>F115+F118+F126</f>
        <v>51312</v>
      </c>
      <c r="G114" s="495">
        <f>G115+G118+G126</f>
        <v>269893</v>
      </c>
      <c r="H114" s="495">
        <f>I114+J114</f>
        <v>596538</v>
      </c>
      <c r="I114" s="495">
        <f>I115+I118+I126</f>
        <v>596538</v>
      </c>
      <c r="J114" s="495">
        <f>J115+J118+J126</f>
        <v>0</v>
      </c>
      <c r="K114" s="489">
        <f t="shared" si="159"/>
        <v>0</v>
      </c>
      <c r="L114" s="489">
        <f t="shared" si="160"/>
        <v>0</v>
      </c>
      <c r="M114" s="495">
        <f>M115+M118+M126</f>
        <v>0</v>
      </c>
      <c r="N114" s="489">
        <f t="shared" si="161"/>
        <v>69276</v>
      </c>
      <c r="O114" s="489">
        <f t="shared" si="162"/>
        <v>0</v>
      </c>
      <c r="P114" s="495">
        <f>P115+P118+P126</f>
        <v>69276</v>
      </c>
      <c r="Q114" s="495">
        <f t="shared" ref="Q114:AP114" si="261">Q115+Q118+Q126</f>
        <v>0</v>
      </c>
      <c r="R114" s="495">
        <f t="shared" si="261"/>
        <v>0</v>
      </c>
      <c r="S114" s="495">
        <f t="shared" si="261"/>
        <v>0</v>
      </c>
      <c r="T114" s="495">
        <f t="shared" si="261"/>
        <v>0</v>
      </c>
      <c r="U114" s="495">
        <f t="shared" si="261"/>
        <v>0</v>
      </c>
      <c r="V114" s="495">
        <f t="shared" si="261"/>
        <v>0</v>
      </c>
      <c r="W114" s="495">
        <f t="shared" si="261"/>
        <v>0</v>
      </c>
      <c r="X114" s="495">
        <f t="shared" si="261"/>
        <v>0</v>
      </c>
      <c r="Y114" s="495">
        <f t="shared" si="261"/>
        <v>0</v>
      </c>
      <c r="Z114" s="495">
        <f t="shared" si="261"/>
        <v>0</v>
      </c>
      <c r="AA114" s="495">
        <f t="shared" si="261"/>
        <v>0</v>
      </c>
      <c r="AB114" s="495">
        <f t="shared" si="261"/>
        <v>0</v>
      </c>
      <c r="AC114" s="495">
        <f t="shared" si="261"/>
        <v>0</v>
      </c>
      <c r="AD114" s="495">
        <f t="shared" si="261"/>
        <v>-476055</v>
      </c>
      <c r="AE114" s="495">
        <f t="shared" si="261"/>
        <v>0</v>
      </c>
      <c r="AF114" s="495">
        <f t="shared" si="261"/>
        <v>-476055</v>
      </c>
      <c r="AG114" s="495">
        <f t="shared" si="261"/>
        <v>0</v>
      </c>
      <c r="AH114" s="495">
        <f t="shared" si="261"/>
        <v>0</v>
      </c>
      <c r="AI114" s="495">
        <f t="shared" si="261"/>
        <v>0</v>
      </c>
      <c r="AJ114" s="495">
        <f t="shared" si="261"/>
        <v>0</v>
      </c>
      <c r="AK114" s="495">
        <f t="shared" si="261"/>
        <v>0</v>
      </c>
      <c r="AL114" s="495">
        <f t="shared" si="261"/>
        <v>-476055</v>
      </c>
      <c r="AM114" s="495">
        <f t="shared" si="261"/>
        <v>0</v>
      </c>
      <c r="AN114" s="495">
        <f t="shared" si="261"/>
        <v>-476055</v>
      </c>
      <c r="AO114" s="495">
        <f t="shared" si="261"/>
        <v>0</v>
      </c>
      <c r="AP114" s="495">
        <f t="shared" si="261"/>
        <v>0</v>
      </c>
    </row>
    <row r="115" spans="1:42">
      <c r="A115" s="431" t="s">
        <v>115</v>
      </c>
      <c r="B115" s="436" t="s">
        <v>401</v>
      </c>
      <c r="C115" s="488">
        <f t="shared" ref="C115:C130" si="262">E115+H115</f>
        <v>65953</v>
      </c>
      <c r="D115" s="488">
        <f t="shared" ref="D115:D130" si="263">E115+H115+M115+P115+Q115+AD115</f>
        <v>65953</v>
      </c>
      <c r="E115" s="462">
        <f t="shared" si="57"/>
        <v>39872</v>
      </c>
      <c r="F115" s="462">
        <f>F116+F117</f>
        <v>39872</v>
      </c>
      <c r="G115" s="462">
        <f>G116+G117</f>
        <v>0</v>
      </c>
      <c r="H115" s="462">
        <f t="shared" si="58"/>
        <v>26081</v>
      </c>
      <c r="I115" s="462">
        <f>I116+I117</f>
        <v>26081</v>
      </c>
      <c r="J115" s="462">
        <f>J116+J117</f>
        <v>0</v>
      </c>
      <c r="K115" s="489">
        <f t="shared" si="159"/>
        <v>0</v>
      </c>
      <c r="L115" s="489">
        <f t="shared" si="160"/>
        <v>0</v>
      </c>
      <c r="M115" s="462">
        <f>M116+M117</f>
        <v>0</v>
      </c>
      <c r="N115" s="489">
        <f t="shared" si="161"/>
        <v>0</v>
      </c>
      <c r="O115" s="489">
        <f t="shared" si="162"/>
        <v>0</v>
      </c>
      <c r="P115" s="462">
        <f>P116+P117</f>
        <v>0</v>
      </c>
      <c r="Q115" s="462">
        <f t="shared" ref="Q115:AP115" si="264">Q116+Q117</f>
        <v>0</v>
      </c>
      <c r="R115" s="462">
        <f t="shared" si="264"/>
        <v>0</v>
      </c>
      <c r="S115" s="462">
        <f t="shared" si="264"/>
        <v>0</v>
      </c>
      <c r="T115" s="462">
        <f t="shared" si="264"/>
        <v>0</v>
      </c>
      <c r="U115" s="462">
        <f t="shared" si="264"/>
        <v>0</v>
      </c>
      <c r="V115" s="462">
        <f t="shared" si="264"/>
        <v>0</v>
      </c>
      <c r="W115" s="462">
        <f t="shared" si="264"/>
        <v>0</v>
      </c>
      <c r="X115" s="462">
        <f t="shared" si="264"/>
        <v>0</v>
      </c>
      <c r="Y115" s="462">
        <f t="shared" si="264"/>
        <v>0</v>
      </c>
      <c r="Z115" s="462">
        <f t="shared" si="264"/>
        <v>0</v>
      </c>
      <c r="AA115" s="462">
        <f t="shared" si="264"/>
        <v>0</v>
      </c>
      <c r="AB115" s="462">
        <f t="shared" si="264"/>
        <v>0</v>
      </c>
      <c r="AC115" s="462">
        <f t="shared" si="264"/>
        <v>0</v>
      </c>
      <c r="AD115" s="462">
        <f t="shared" si="264"/>
        <v>0</v>
      </c>
      <c r="AE115" s="462">
        <f t="shared" si="264"/>
        <v>0</v>
      </c>
      <c r="AF115" s="462">
        <f t="shared" si="264"/>
        <v>0</v>
      </c>
      <c r="AG115" s="462">
        <f t="shared" si="264"/>
        <v>0</v>
      </c>
      <c r="AH115" s="462">
        <f t="shared" si="264"/>
        <v>0</v>
      </c>
      <c r="AI115" s="462">
        <f t="shared" si="264"/>
        <v>0</v>
      </c>
      <c r="AJ115" s="462">
        <f t="shared" si="264"/>
        <v>0</v>
      </c>
      <c r="AK115" s="462">
        <f t="shared" si="264"/>
        <v>0</v>
      </c>
      <c r="AL115" s="462">
        <f t="shared" si="264"/>
        <v>0</v>
      </c>
      <c r="AM115" s="462">
        <f t="shared" si="264"/>
        <v>0</v>
      </c>
      <c r="AN115" s="462">
        <f t="shared" si="264"/>
        <v>0</v>
      </c>
      <c r="AO115" s="462">
        <f t="shared" si="264"/>
        <v>0</v>
      </c>
      <c r="AP115" s="462">
        <f t="shared" si="264"/>
        <v>0</v>
      </c>
    </row>
    <row r="116" spans="1:42" s="424" customFormat="1">
      <c r="A116" s="432" t="s">
        <v>433</v>
      </c>
      <c r="B116" s="435" t="s">
        <v>37</v>
      </c>
      <c r="C116" s="488">
        <f t="shared" si="262"/>
        <v>48555</v>
      </c>
      <c r="D116" s="488">
        <f t="shared" si="263"/>
        <v>48555</v>
      </c>
      <c r="E116" s="460">
        <f t="shared" si="57"/>
        <v>22474</v>
      </c>
      <c r="F116" s="460">
        <v>22474</v>
      </c>
      <c r="G116" s="462"/>
      <c r="H116" s="460">
        <f t="shared" si="58"/>
        <v>26081</v>
      </c>
      <c r="I116" s="460">
        <f>120483-94402</f>
        <v>26081</v>
      </c>
      <c r="J116" s="460"/>
      <c r="K116" s="489">
        <f t="shared" si="159"/>
        <v>0</v>
      </c>
      <c r="L116" s="489">
        <f t="shared" si="160"/>
        <v>0</v>
      </c>
      <c r="M116" s="460"/>
      <c r="N116" s="489">
        <f t="shared" si="161"/>
        <v>0</v>
      </c>
      <c r="O116" s="489">
        <f t="shared" si="162"/>
        <v>0</v>
      </c>
      <c r="P116" s="460"/>
      <c r="Q116" s="462">
        <f t="shared" ref="Q116:Q117" si="265">R116+S116</f>
        <v>0</v>
      </c>
      <c r="R116" s="462">
        <f t="shared" ref="R116:R117" si="266">T116+U116+V116+W116+X116+Y116+AA116</f>
        <v>0</v>
      </c>
      <c r="S116" s="462">
        <f t="shared" ref="S116:S117" si="267">AB116</f>
        <v>0</v>
      </c>
      <c r="T116" s="462"/>
      <c r="U116" s="462"/>
      <c r="V116" s="462"/>
      <c r="W116" s="462"/>
      <c r="X116" s="462"/>
      <c r="Y116" s="462"/>
      <c r="Z116" s="462">
        <f t="shared" ref="Z116:Z117" si="268">AB116+AA116</f>
        <v>0</v>
      </c>
      <c r="AA116" s="462"/>
      <c r="AB116" s="462"/>
      <c r="AC116" s="462"/>
      <c r="AD116" s="462">
        <f t="shared" ref="AD116:AD117" si="269">AE116+AF116</f>
        <v>0</v>
      </c>
      <c r="AE116" s="462">
        <f t="shared" ref="AE116:AE117" si="270">AG116+AH116+AI116+AJ116+AK116+AM116+AO116+AP116</f>
        <v>0</v>
      </c>
      <c r="AF116" s="462">
        <f t="shared" ref="AF116:AF117" si="271">AN116</f>
        <v>0</v>
      </c>
      <c r="AG116" s="460"/>
      <c r="AH116" s="460"/>
      <c r="AI116" s="460"/>
      <c r="AJ116" s="460"/>
      <c r="AK116" s="460"/>
      <c r="AL116" s="462">
        <f t="shared" ref="AL116:AL117" si="272">AM116+AN116</f>
        <v>0</v>
      </c>
      <c r="AM116" s="460"/>
      <c r="AN116" s="460"/>
      <c r="AO116" s="460"/>
      <c r="AP116" s="460"/>
    </row>
    <row r="117" spans="1:42" s="424" customFormat="1">
      <c r="A117" s="432" t="s">
        <v>433</v>
      </c>
      <c r="B117" s="435" t="s">
        <v>437</v>
      </c>
      <c r="C117" s="488">
        <f t="shared" si="262"/>
        <v>17398</v>
      </c>
      <c r="D117" s="488">
        <f t="shared" si="263"/>
        <v>17398</v>
      </c>
      <c r="E117" s="460">
        <f t="shared" si="57"/>
        <v>17398</v>
      </c>
      <c r="F117" s="460">
        <f>2648+14750</f>
        <v>17398</v>
      </c>
      <c r="G117" s="462"/>
      <c r="H117" s="460">
        <f t="shared" si="58"/>
        <v>0</v>
      </c>
      <c r="I117" s="460"/>
      <c r="J117" s="460"/>
      <c r="K117" s="489">
        <f t="shared" si="159"/>
        <v>0</v>
      </c>
      <c r="L117" s="489">
        <f t="shared" si="160"/>
        <v>0</v>
      </c>
      <c r="M117" s="460"/>
      <c r="N117" s="489">
        <f t="shared" si="161"/>
        <v>0</v>
      </c>
      <c r="O117" s="489">
        <f t="shared" si="162"/>
        <v>0</v>
      </c>
      <c r="P117" s="460"/>
      <c r="Q117" s="462">
        <f t="shared" si="265"/>
        <v>0</v>
      </c>
      <c r="R117" s="462">
        <f t="shared" si="266"/>
        <v>0</v>
      </c>
      <c r="S117" s="462">
        <f t="shared" si="267"/>
        <v>0</v>
      </c>
      <c r="T117" s="462"/>
      <c r="U117" s="462"/>
      <c r="V117" s="462"/>
      <c r="W117" s="462"/>
      <c r="X117" s="462"/>
      <c r="Y117" s="462"/>
      <c r="Z117" s="462">
        <f t="shared" si="268"/>
        <v>0</v>
      </c>
      <c r="AA117" s="462"/>
      <c r="AB117" s="462"/>
      <c r="AC117" s="462"/>
      <c r="AD117" s="462">
        <f t="shared" si="269"/>
        <v>0</v>
      </c>
      <c r="AE117" s="462">
        <f t="shared" si="270"/>
        <v>0</v>
      </c>
      <c r="AF117" s="462">
        <f t="shared" si="271"/>
        <v>0</v>
      </c>
      <c r="AG117" s="460"/>
      <c r="AH117" s="460"/>
      <c r="AI117" s="460"/>
      <c r="AJ117" s="460"/>
      <c r="AK117" s="460"/>
      <c r="AL117" s="462">
        <f t="shared" si="272"/>
        <v>0</v>
      </c>
      <c r="AM117" s="460"/>
      <c r="AN117" s="460"/>
      <c r="AO117" s="460"/>
      <c r="AP117" s="460"/>
    </row>
    <row r="118" spans="1:42">
      <c r="A118" s="431" t="s">
        <v>116</v>
      </c>
      <c r="B118" s="436" t="s">
        <v>445</v>
      </c>
      <c r="C118" s="488">
        <f t="shared" si="262"/>
        <v>620473</v>
      </c>
      <c r="D118" s="488">
        <f t="shared" si="263"/>
        <v>193056</v>
      </c>
      <c r="E118" s="462">
        <f>F118+G118</f>
        <v>50016</v>
      </c>
      <c r="F118" s="462">
        <f>SUM(F119:F125)</f>
        <v>11440</v>
      </c>
      <c r="G118" s="462">
        <f>SUM(G119:G125)</f>
        <v>38576</v>
      </c>
      <c r="H118" s="462">
        <f>I118+J118</f>
        <v>570457</v>
      </c>
      <c r="I118" s="462">
        <f>SUM(I119:I125)</f>
        <v>570457</v>
      </c>
      <c r="J118" s="462">
        <f>SUM(J119:J125)</f>
        <v>0</v>
      </c>
      <c r="K118" s="489">
        <f t="shared" si="159"/>
        <v>0</v>
      </c>
      <c r="L118" s="489">
        <f t="shared" si="160"/>
        <v>0</v>
      </c>
      <c r="M118" s="462">
        <f>SUM(M119:M125)</f>
        <v>0</v>
      </c>
      <c r="N118" s="489">
        <f>O118+P118</f>
        <v>48638</v>
      </c>
      <c r="O118" s="489">
        <f>Y118+AP118</f>
        <v>0</v>
      </c>
      <c r="P118" s="462">
        <f>SUM(P119:P125)</f>
        <v>48638</v>
      </c>
      <c r="Q118" s="462">
        <f t="shared" ref="Q118:AP118" si="273">SUM(Q119:Q125)</f>
        <v>0</v>
      </c>
      <c r="R118" s="462">
        <f t="shared" si="273"/>
        <v>0</v>
      </c>
      <c r="S118" s="462">
        <f t="shared" si="273"/>
        <v>0</v>
      </c>
      <c r="T118" s="462">
        <f t="shared" si="273"/>
        <v>0</v>
      </c>
      <c r="U118" s="462">
        <f t="shared" si="273"/>
        <v>0</v>
      </c>
      <c r="V118" s="462">
        <f t="shared" si="273"/>
        <v>0</v>
      </c>
      <c r="W118" s="462">
        <f t="shared" si="273"/>
        <v>0</v>
      </c>
      <c r="X118" s="462">
        <f t="shared" si="273"/>
        <v>0</v>
      </c>
      <c r="Y118" s="462">
        <f t="shared" si="273"/>
        <v>0</v>
      </c>
      <c r="Z118" s="462">
        <f t="shared" si="273"/>
        <v>0</v>
      </c>
      <c r="AA118" s="462">
        <f t="shared" si="273"/>
        <v>0</v>
      </c>
      <c r="AB118" s="462">
        <f t="shared" si="273"/>
        <v>0</v>
      </c>
      <c r="AC118" s="462">
        <f t="shared" si="273"/>
        <v>0</v>
      </c>
      <c r="AD118" s="462">
        <f t="shared" si="273"/>
        <v>-476055</v>
      </c>
      <c r="AE118" s="462">
        <f t="shared" si="273"/>
        <v>0</v>
      </c>
      <c r="AF118" s="462">
        <f t="shared" si="273"/>
        <v>-476055</v>
      </c>
      <c r="AG118" s="462">
        <f t="shared" si="273"/>
        <v>0</v>
      </c>
      <c r="AH118" s="462">
        <f t="shared" si="273"/>
        <v>0</v>
      </c>
      <c r="AI118" s="462">
        <f t="shared" si="273"/>
        <v>0</v>
      </c>
      <c r="AJ118" s="462">
        <f t="shared" si="273"/>
        <v>0</v>
      </c>
      <c r="AK118" s="462">
        <f t="shared" si="273"/>
        <v>0</v>
      </c>
      <c r="AL118" s="462">
        <f t="shared" si="273"/>
        <v>-476055</v>
      </c>
      <c r="AM118" s="462">
        <f t="shared" si="273"/>
        <v>0</v>
      </c>
      <c r="AN118" s="462">
        <f t="shared" si="273"/>
        <v>-476055</v>
      </c>
      <c r="AO118" s="462">
        <f t="shared" si="273"/>
        <v>0</v>
      </c>
      <c r="AP118" s="462">
        <f t="shared" si="273"/>
        <v>0</v>
      </c>
    </row>
    <row r="119" spans="1:42" s="424" customFormat="1" ht="31.5">
      <c r="A119" s="432" t="s">
        <v>433</v>
      </c>
      <c r="B119" s="467" t="s">
        <v>102</v>
      </c>
      <c r="C119" s="488">
        <f t="shared" si="262"/>
        <v>70670</v>
      </c>
      <c r="D119" s="488">
        <f t="shared" si="263"/>
        <v>7691</v>
      </c>
      <c r="E119" s="460">
        <f>F119+G119</f>
        <v>0</v>
      </c>
      <c r="F119" s="460"/>
      <c r="G119" s="460">
        <v>0</v>
      </c>
      <c r="H119" s="460">
        <f>I119+J119</f>
        <v>70670</v>
      </c>
      <c r="I119" s="460">
        <v>70670</v>
      </c>
      <c r="J119" s="460"/>
      <c r="K119" s="489">
        <f t="shared" si="159"/>
        <v>0</v>
      </c>
      <c r="L119" s="489">
        <f t="shared" si="160"/>
        <v>0</v>
      </c>
      <c r="M119" s="460"/>
      <c r="N119" s="489">
        <f t="shared" si="161"/>
        <v>7691</v>
      </c>
      <c r="O119" s="489">
        <f t="shared" si="162"/>
        <v>0</v>
      </c>
      <c r="P119" s="460">
        <f>7691-O119</f>
        <v>7691</v>
      </c>
      <c r="Q119" s="462">
        <f t="shared" ref="Q119:Q125" si="274">R119+S119</f>
        <v>0</v>
      </c>
      <c r="R119" s="462">
        <f t="shared" ref="R119:R125" si="275">T119+U119+V119+W119+X119+Y119+AA119</f>
        <v>0</v>
      </c>
      <c r="S119" s="462">
        <f t="shared" ref="S119:S125" si="276">AB119</f>
        <v>0</v>
      </c>
      <c r="T119" s="462"/>
      <c r="U119" s="462"/>
      <c r="V119" s="462"/>
      <c r="W119" s="462"/>
      <c r="X119" s="462"/>
      <c r="Y119" s="462"/>
      <c r="Z119" s="462">
        <f t="shared" ref="Z119:Z125" si="277">AB119+AA119</f>
        <v>0</v>
      </c>
      <c r="AA119" s="462"/>
      <c r="AB119" s="462"/>
      <c r="AC119" s="462"/>
      <c r="AD119" s="462">
        <f t="shared" ref="AD119:AD125" si="278">AE119+AF119</f>
        <v>-70670</v>
      </c>
      <c r="AE119" s="462">
        <f t="shared" ref="AE119:AE125" si="279">AG119+AH119+AI119+AJ119+AK119+AM119+AO119+AP119</f>
        <v>0</v>
      </c>
      <c r="AF119" s="462">
        <f t="shared" ref="AF119:AF125" si="280">AN119</f>
        <v>-70670</v>
      </c>
      <c r="AG119" s="460"/>
      <c r="AH119" s="460"/>
      <c r="AI119" s="460"/>
      <c r="AJ119" s="460"/>
      <c r="AK119" s="460"/>
      <c r="AL119" s="462">
        <f t="shared" ref="AL119:AL125" si="281">AM119+AN119</f>
        <v>-70670</v>
      </c>
      <c r="AM119" s="460"/>
      <c r="AN119" s="460">
        <v>-70670</v>
      </c>
      <c r="AO119" s="460"/>
      <c r="AP119" s="460"/>
    </row>
    <row r="120" spans="1:42" s="424" customFormat="1" ht="47.25">
      <c r="A120" s="432" t="s">
        <v>433</v>
      </c>
      <c r="B120" s="466" t="s">
        <v>105</v>
      </c>
      <c r="C120" s="488">
        <f t="shared" si="262"/>
        <v>90699</v>
      </c>
      <c r="D120" s="488">
        <f t="shared" si="263"/>
        <v>29462</v>
      </c>
      <c r="E120" s="460">
        <f t="shared" si="57"/>
        <v>29462</v>
      </c>
      <c r="F120" s="460"/>
      <c r="G120" s="460">
        <v>29462</v>
      </c>
      <c r="H120" s="460">
        <f t="shared" si="58"/>
        <v>61237</v>
      </c>
      <c r="I120" s="460">
        <v>61237</v>
      </c>
      <c r="J120" s="460"/>
      <c r="K120" s="489">
        <f t="shared" si="159"/>
        <v>0</v>
      </c>
      <c r="L120" s="489">
        <f t="shared" si="160"/>
        <v>0</v>
      </c>
      <c r="M120" s="460"/>
      <c r="N120" s="489">
        <f t="shared" si="161"/>
        <v>0</v>
      </c>
      <c r="O120" s="489">
        <f>Y120+AP120</f>
        <v>0</v>
      </c>
      <c r="P120" s="460"/>
      <c r="Q120" s="462">
        <f t="shared" si="274"/>
        <v>0</v>
      </c>
      <c r="R120" s="462">
        <f t="shared" si="275"/>
        <v>0</v>
      </c>
      <c r="S120" s="462">
        <f t="shared" si="276"/>
        <v>0</v>
      </c>
      <c r="T120" s="462"/>
      <c r="U120" s="462"/>
      <c r="V120" s="462"/>
      <c r="W120" s="462"/>
      <c r="X120" s="462"/>
      <c r="Y120" s="462"/>
      <c r="Z120" s="462">
        <f t="shared" si="277"/>
        <v>0</v>
      </c>
      <c r="AA120" s="462"/>
      <c r="AB120" s="462"/>
      <c r="AC120" s="462"/>
      <c r="AD120" s="462">
        <f t="shared" si="278"/>
        <v>-61237</v>
      </c>
      <c r="AE120" s="462">
        <f t="shared" si="279"/>
        <v>0</v>
      </c>
      <c r="AF120" s="462">
        <f t="shared" si="280"/>
        <v>-61237</v>
      </c>
      <c r="AG120" s="460"/>
      <c r="AH120" s="460"/>
      <c r="AI120" s="460"/>
      <c r="AJ120" s="460"/>
      <c r="AK120" s="460"/>
      <c r="AL120" s="462">
        <f t="shared" si="281"/>
        <v>-61237</v>
      </c>
      <c r="AM120" s="460"/>
      <c r="AN120" s="460">
        <v>-61237</v>
      </c>
      <c r="AO120" s="460"/>
      <c r="AP120" s="460"/>
    </row>
    <row r="121" spans="1:42" s="424" customFormat="1" ht="47.25">
      <c r="A121" s="432" t="s">
        <v>433</v>
      </c>
      <c r="B121" s="468" t="s">
        <v>222</v>
      </c>
      <c r="C121" s="488">
        <f t="shared" si="262"/>
        <v>430988</v>
      </c>
      <c r="D121" s="488">
        <f t="shared" si="263"/>
        <v>112384</v>
      </c>
      <c r="E121" s="460">
        <f t="shared" si="57"/>
        <v>17982</v>
      </c>
      <c r="F121" s="460">
        <f>11440</f>
        <v>11440</v>
      </c>
      <c r="G121" s="460">
        <v>6542</v>
      </c>
      <c r="H121" s="460">
        <f t="shared" si="58"/>
        <v>413006</v>
      </c>
      <c r="I121" s="460">
        <f>318604+94402</f>
        <v>413006</v>
      </c>
      <c r="J121" s="460"/>
      <c r="K121" s="489">
        <f t="shared" si="159"/>
        <v>0</v>
      </c>
      <c r="L121" s="489">
        <f t="shared" si="160"/>
        <v>0</v>
      </c>
      <c r="M121" s="460"/>
      <c r="N121" s="489">
        <f t="shared" si="161"/>
        <v>0</v>
      </c>
      <c r="O121" s="489">
        <f>Y121+AP121</f>
        <v>0</v>
      </c>
      <c r="P121" s="460"/>
      <c r="Q121" s="462">
        <f t="shared" si="274"/>
        <v>0</v>
      </c>
      <c r="R121" s="462">
        <f t="shared" si="275"/>
        <v>0</v>
      </c>
      <c r="S121" s="462">
        <f t="shared" si="276"/>
        <v>0</v>
      </c>
      <c r="T121" s="462"/>
      <c r="U121" s="462"/>
      <c r="V121" s="462"/>
      <c r="W121" s="462"/>
      <c r="X121" s="462"/>
      <c r="Y121" s="462"/>
      <c r="Z121" s="462">
        <f t="shared" si="277"/>
        <v>0</v>
      </c>
      <c r="AA121" s="462"/>
      <c r="AB121" s="462"/>
      <c r="AC121" s="462"/>
      <c r="AD121" s="462">
        <f t="shared" si="278"/>
        <v>-318604</v>
      </c>
      <c r="AE121" s="462">
        <f t="shared" si="279"/>
        <v>0</v>
      </c>
      <c r="AF121" s="462">
        <f t="shared" si="280"/>
        <v>-318604</v>
      </c>
      <c r="AG121" s="460"/>
      <c r="AH121" s="460"/>
      <c r="AI121" s="460"/>
      <c r="AJ121" s="460"/>
      <c r="AK121" s="460"/>
      <c r="AL121" s="462">
        <f t="shared" si="281"/>
        <v>-318604</v>
      </c>
      <c r="AM121" s="460"/>
      <c r="AN121" s="460">
        <f>-(413006-94402)</f>
        <v>-318604</v>
      </c>
      <c r="AO121" s="460"/>
      <c r="AP121" s="460"/>
    </row>
    <row r="122" spans="1:42" s="424" customFormat="1">
      <c r="A122" s="432" t="s">
        <v>433</v>
      </c>
      <c r="B122" s="468" t="s">
        <v>525</v>
      </c>
      <c r="C122" s="488">
        <f t="shared" ref="C122" si="282">E122+H122</f>
        <v>0</v>
      </c>
      <c r="D122" s="488">
        <f t="shared" si="263"/>
        <v>31070</v>
      </c>
      <c r="E122" s="460">
        <f t="shared" ref="E122" si="283">F122+G122</f>
        <v>0</v>
      </c>
      <c r="F122" s="460"/>
      <c r="G122" s="460"/>
      <c r="H122" s="460">
        <f t="shared" ref="H122" si="284">I122+J122</f>
        <v>0</v>
      </c>
      <c r="I122" s="460"/>
      <c r="J122" s="460"/>
      <c r="K122" s="489">
        <f t="shared" ref="K122" si="285">L122+M122</f>
        <v>0</v>
      </c>
      <c r="L122" s="489">
        <f t="shared" ref="L122" si="286">T122+AG122</f>
        <v>0</v>
      </c>
      <c r="M122" s="460"/>
      <c r="N122" s="489">
        <f t="shared" ref="N122" si="287">O122+P122</f>
        <v>31070</v>
      </c>
      <c r="O122" s="489">
        <f>Y122+AP122</f>
        <v>0</v>
      </c>
      <c r="P122" s="460">
        <f>19216-O122+11854</f>
        <v>31070</v>
      </c>
      <c r="Q122" s="462">
        <f t="shared" ref="Q122" si="288">R122+S122</f>
        <v>0</v>
      </c>
      <c r="R122" s="462">
        <f t="shared" ref="R122" si="289">T122+U122+V122+W122+X122+Y122+AA122</f>
        <v>0</v>
      </c>
      <c r="S122" s="462">
        <f t="shared" ref="S122" si="290">AB122</f>
        <v>0</v>
      </c>
      <c r="T122" s="462"/>
      <c r="U122" s="462"/>
      <c r="V122" s="462"/>
      <c r="W122" s="462"/>
      <c r="X122" s="462"/>
      <c r="Y122" s="462"/>
      <c r="Z122" s="462">
        <f t="shared" ref="Z122" si="291">AB122+AA122</f>
        <v>0</v>
      </c>
      <c r="AA122" s="462"/>
      <c r="AB122" s="462"/>
      <c r="AC122" s="462"/>
      <c r="AD122" s="462">
        <f t="shared" ref="AD122" si="292">AE122+AF122</f>
        <v>0</v>
      </c>
      <c r="AE122" s="462">
        <f t="shared" ref="AE122" si="293">AG122+AH122+AI122+AJ122+AK122+AM122+AO122+AP122</f>
        <v>0</v>
      </c>
      <c r="AF122" s="462">
        <f t="shared" ref="AF122" si="294">AN122</f>
        <v>0</v>
      </c>
      <c r="AG122" s="460"/>
      <c r="AH122" s="460"/>
      <c r="AI122" s="460"/>
      <c r="AJ122" s="460"/>
      <c r="AK122" s="460"/>
      <c r="AL122" s="462">
        <f t="shared" ref="AL122" si="295">AM122+AN122</f>
        <v>0</v>
      </c>
      <c r="AM122" s="460"/>
      <c r="AN122" s="460"/>
      <c r="AO122" s="460"/>
      <c r="AP122" s="460"/>
    </row>
    <row r="123" spans="1:42" s="424" customFormat="1" ht="31.5">
      <c r="A123" s="432" t="s">
        <v>433</v>
      </c>
      <c r="B123" s="469" t="s">
        <v>182</v>
      </c>
      <c r="C123" s="488">
        <f t="shared" si="262"/>
        <v>17887</v>
      </c>
      <c r="D123" s="488">
        <f t="shared" si="263"/>
        <v>2572</v>
      </c>
      <c r="E123" s="460">
        <f t="shared" ref="E123:E195" si="296">F123+G123</f>
        <v>2572</v>
      </c>
      <c r="F123" s="460"/>
      <c r="G123" s="460">
        <v>2572</v>
      </c>
      <c r="H123" s="460">
        <f t="shared" si="58"/>
        <v>15315</v>
      </c>
      <c r="I123" s="460">
        <v>15315</v>
      </c>
      <c r="J123" s="460"/>
      <c r="K123" s="489">
        <f t="shared" si="159"/>
        <v>0</v>
      </c>
      <c r="L123" s="489">
        <f t="shared" si="160"/>
        <v>0</v>
      </c>
      <c r="M123" s="460"/>
      <c r="N123" s="489">
        <f t="shared" si="161"/>
        <v>0</v>
      </c>
      <c r="O123" s="489">
        <f t="shared" si="162"/>
        <v>0</v>
      </c>
      <c r="P123" s="460"/>
      <c r="Q123" s="462">
        <f t="shared" si="274"/>
        <v>0</v>
      </c>
      <c r="R123" s="462">
        <f t="shared" si="275"/>
        <v>0</v>
      </c>
      <c r="S123" s="462">
        <f t="shared" si="276"/>
        <v>0</v>
      </c>
      <c r="T123" s="462"/>
      <c r="U123" s="462"/>
      <c r="V123" s="462"/>
      <c r="W123" s="462"/>
      <c r="X123" s="462"/>
      <c r="Y123" s="462"/>
      <c r="Z123" s="462">
        <f t="shared" si="277"/>
        <v>0</v>
      </c>
      <c r="AA123" s="462"/>
      <c r="AB123" s="462"/>
      <c r="AC123" s="462"/>
      <c r="AD123" s="462">
        <f t="shared" si="278"/>
        <v>-15315</v>
      </c>
      <c r="AE123" s="462">
        <f t="shared" si="279"/>
        <v>0</v>
      </c>
      <c r="AF123" s="462">
        <f t="shared" si="280"/>
        <v>-15315</v>
      </c>
      <c r="AG123" s="460"/>
      <c r="AH123" s="460"/>
      <c r="AI123" s="460"/>
      <c r="AJ123" s="460"/>
      <c r="AK123" s="460"/>
      <c r="AL123" s="462">
        <f t="shared" si="281"/>
        <v>-15315</v>
      </c>
      <c r="AM123" s="460"/>
      <c r="AN123" s="460">
        <v>-15315</v>
      </c>
      <c r="AO123" s="460"/>
      <c r="AP123" s="460"/>
    </row>
    <row r="124" spans="1:42" s="424" customFormat="1">
      <c r="A124" s="432" t="s">
        <v>433</v>
      </c>
      <c r="B124" s="469" t="s">
        <v>527</v>
      </c>
      <c r="C124" s="488">
        <f t="shared" ref="C124" si="297">E124+H124</f>
        <v>0</v>
      </c>
      <c r="D124" s="488">
        <f t="shared" si="263"/>
        <v>9877</v>
      </c>
      <c r="E124" s="460">
        <f t="shared" ref="E124" si="298">F124+G124</f>
        <v>0</v>
      </c>
      <c r="F124" s="460"/>
      <c r="G124" s="460"/>
      <c r="H124" s="460">
        <f t="shared" ref="H124" si="299">I124+J124</f>
        <v>0</v>
      </c>
      <c r="I124" s="460"/>
      <c r="J124" s="460"/>
      <c r="K124" s="489">
        <f t="shared" ref="K124" si="300">L124+M124</f>
        <v>0</v>
      </c>
      <c r="L124" s="489">
        <f t="shared" ref="L124" si="301">T124+AG124</f>
        <v>0</v>
      </c>
      <c r="M124" s="460"/>
      <c r="N124" s="489">
        <f t="shared" ref="N124" si="302">O124+P124</f>
        <v>9877</v>
      </c>
      <c r="O124" s="489">
        <f t="shared" ref="O124" si="303">Y124+AP124</f>
        <v>0</v>
      </c>
      <c r="P124" s="460">
        <f>9877-O124</f>
        <v>9877</v>
      </c>
      <c r="Q124" s="462">
        <f t="shared" ref="Q124" si="304">R124+S124</f>
        <v>0</v>
      </c>
      <c r="R124" s="462">
        <f t="shared" ref="R124" si="305">T124+U124+V124+W124+X124+Y124+AA124</f>
        <v>0</v>
      </c>
      <c r="S124" s="462">
        <f t="shared" ref="S124" si="306">AB124</f>
        <v>0</v>
      </c>
      <c r="T124" s="462"/>
      <c r="U124" s="462"/>
      <c r="V124" s="462"/>
      <c r="W124" s="462"/>
      <c r="X124" s="462"/>
      <c r="Y124" s="462"/>
      <c r="Z124" s="462">
        <f t="shared" ref="Z124" si="307">AB124+AA124</f>
        <v>0</v>
      </c>
      <c r="AA124" s="462"/>
      <c r="AB124" s="462"/>
      <c r="AC124" s="462"/>
      <c r="AD124" s="462">
        <f t="shared" ref="AD124" si="308">AE124+AF124</f>
        <v>0</v>
      </c>
      <c r="AE124" s="462">
        <f t="shared" ref="AE124" si="309">AG124+AH124+AI124+AJ124+AK124+AM124+AO124+AP124</f>
        <v>0</v>
      </c>
      <c r="AF124" s="462">
        <f t="shared" ref="AF124" si="310">AN124</f>
        <v>0</v>
      </c>
      <c r="AG124" s="460"/>
      <c r="AH124" s="460"/>
      <c r="AI124" s="460"/>
      <c r="AJ124" s="460"/>
      <c r="AK124" s="460"/>
      <c r="AL124" s="462">
        <f t="shared" ref="AL124" si="311">AM124+AN124</f>
        <v>0</v>
      </c>
      <c r="AM124" s="460"/>
      <c r="AN124" s="460"/>
      <c r="AO124" s="460"/>
      <c r="AP124" s="460"/>
    </row>
    <row r="125" spans="1:42" s="424" customFormat="1" ht="47.25">
      <c r="A125" s="432" t="s">
        <v>433</v>
      </c>
      <c r="B125" s="153" t="s">
        <v>461</v>
      </c>
      <c r="C125" s="488">
        <f t="shared" si="262"/>
        <v>10229</v>
      </c>
      <c r="D125" s="488">
        <f t="shared" si="263"/>
        <v>0</v>
      </c>
      <c r="E125" s="460">
        <f>F125+G125</f>
        <v>0</v>
      </c>
      <c r="F125" s="460"/>
      <c r="G125" s="460">
        <v>0</v>
      </c>
      <c r="H125" s="460">
        <f t="shared" ref="H125:H196" si="312">I125+J125</f>
        <v>10229</v>
      </c>
      <c r="I125" s="460">
        <v>10229</v>
      </c>
      <c r="J125" s="460"/>
      <c r="K125" s="489">
        <f t="shared" si="159"/>
        <v>0</v>
      </c>
      <c r="L125" s="489">
        <f t="shared" si="160"/>
        <v>0</v>
      </c>
      <c r="M125" s="460"/>
      <c r="N125" s="489">
        <f t="shared" si="161"/>
        <v>0</v>
      </c>
      <c r="O125" s="489">
        <f t="shared" si="162"/>
        <v>0</v>
      </c>
      <c r="P125" s="460"/>
      <c r="Q125" s="462">
        <f t="shared" si="274"/>
        <v>0</v>
      </c>
      <c r="R125" s="462">
        <f t="shared" si="275"/>
        <v>0</v>
      </c>
      <c r="S125" s="462">
        <f t="shared" si="276"/>
        <v>0</v>
      </c>
      <c r="T125" s="462"/>
      <c r="U125" s="462"/>
      <c r="V125" s="462"/>
      <c r="W125" s="462"/>
      <c r="X125" s="462"/>
      <c r="Y125" s="462"/>
      <c r="Z125" s="462">
        <f t="shared" si="277"/>
        <v>0</v>
      </c>
      <c r="AA125" s="462"/>
      <c r="AB125" s="462"/>
      <c r="AC125" s="462"/>
      <c r="AD125" s="462">
        <f t="shared" si="278"/>
        <v>-10229</v>
      </c>
      <c r="AE125" s="462">
        <f t="shared" si="279"/>
        <v>0</v>
      </c>
      <c r="AF125" s="462">
        <f t="shared" si="280"/>
        <v>-10229</v>
      </c>
      <c r="AG125" s="460"/>
      <c r="AH125" s="460"/>
      <c r="AI125" s="460"/>
      <c r="AJ125" s="460"/>
      <c r="AK125" s="460"/>
      <c r="AL125" s="462">
        <f t="shared" si="281"/>
        <v>-10229</v>
      </c>
      <c r="AM125" s="460"/>
      <c r="AN125" s="460">
        <f>-7241-500-2488</f>
        <v>-10229</v>
      </c>
      <c r="AO125" s="460"/>
      <c r="AP125" s="460"/>
    </row>
    <row r="126" spans="1:42" s="424" customFormat="1">
      <c r="A126" s="432" t="s">
        <v>356</v>
      </c>
      <c r="B126" s="480" t="s">
        <v>402</v>
      </c>
      <c r="C126" s="488">
        <f t="shared" si="262"/>
        <v>231317</v>
      </c>
      <c r="D126" s="488">
        <f t="shared" si="263"/>
        <v>251955</v>
      </c>
      <c r="E126" s="460">
        <f>F126+G126</f>
        <v>231317</v>
      </c>
      <c r="F126" s="460">
        <f>SUM(F127:F129)</f>
        <v>0</v>
      </c>
      <c r="G126" s="460">
        <f>SUM(G127:G129)</f>
        <v>231317</v>
      </c>
      <c r="H126" s="460">
        <f t="shared" si="312"/>
        <v>0</v>
      </c>
      <c r="I126" s="460">
        <f>SUM(I127:I129)</f>
        <v>0</v>
      </c>
      <c r="J126" s="460">
        <f>SUM(J127:J129)</f>
        <v>0</v>
      </c>
      <c r="K126" s="489">
        <f t="shared" si="159"/>
        <v>0</v>
      </c>
      <c r="L126" s="489">
        <f t="shared" si="160"/>
        <v>0</v>
      </c>
      <c r="M126" s="460">
        <f>SUM(M127:M129)</f>
        <v>0</v>
      </c>
      <c r="N126" s="489">
        <f t="shared" si="161"/>
        <v>20638</v>
      </c>
      <c r="O126" s="489">
        <f t="shared" si="162"/>
        <v>0</v>
      </c>
      <c r="P126" s="460">
        <f>SUM(P127:P129)</f>
        <v>20638</v>
      </c>
      <c r="Q126" s="460">
        <f t="shared" ref="Q126:AP126" si="313">SUM(Q127:Q129)</f>
        <v>0</v>
      </c>
      <c r="R126" s="460">
        <f t="shared" si="313"/>
        <v>0</v>
      </c>
      <c r="S126" s="460">
        <f t="shared" si="313"/>
        <v>0</v>
      </c>
      <c r="T126" s="460">
        <f t="shared" si="313"/>
        <v>0</v>
      </c>
      <c r="U126" s="460">
        <f t="shared" si="313"/>
        <v>0</v>
      </c>
      <c r="V126" s="460">
        <f t="shared" si="313"/>
        <v>0</v>
      </c>
      <c r="W126" s="460">
        <f t="shared" si="313"/>
        <v>0</v>
      </c>
      <c r="X126" s="460">
        <f t="shared" si="313"/>
        <v>0</v>
      </c>
      <c r="Y126" s="460">
        <f t="shared" si="313"/>
        <v>0</v>
      </c>
      <c r="Z126" s="460">
        <f t="shared" si="313"/>
        <v>0</v>
      </c>
      <c r="AA126" s="460">
        <f t="shared" si="313"/>
        <v>0</v>
      </c>
      <c r="AB126" s="460">
        <f t="shared" si="313"/>
        <v>0</v>
      </c>
      <c r="AC126" s="460">
        <f t="shared" si="313"/>
        <v>0</v>
      </c>
      <c r="AD126" s="460">
        <f t="shared" si="313"/>
        <v>0</v>
      </c>
      <c r="AE126" s="460">
        <f t="shared" si="313"/>
        <v>0</v>
      </c>
      <c r="AF126" s="460">
        <f t="shared" si="313"/>
        <v>0</v>
      </c>
      <c r="AG126" s="460">
        <f t="shared" si="313"/>
        <v>0</v>
      </c>
      <c r="AH126" s="460">
        <f t="shared" si="313"/>
        <v>0</v>
      </c>
      <c r="AI126" s="460">
        <f t="shared" si="313"/>
        <v>0</v>
      </c>
      <c r="AJ126" s="460">
        <f t="shared" si="313"/>
        <v>0</v>
      </c>
      <c r="AK126" s="460">
        <f t="shared" si="313"/>
        <v>0</v>
      </c>
      <c r="AL126" s="460">
        <f t="shared" si="313"/>
        <v>0</v>
      </c>
      <c r="AM126" s="460">
        <f t="shared" si="313"/>
        <v>0</v>
      </c>
      <c r="AN126" s="460">
        <f t="shared" si="313"/>
        <v>0</v>
      </c>
      <c r="AO126" s="460">
        <f t="shared" si="313"/>
        <v>0</v>
      </c>
      <c r="AP126" s="460">
        <f t="shared" si="313"/>
        <v>0</v>
      </c>
    </row>
    <row r="127" spans="1:42" s="424" customFormat="1">
      <c r="A127" s="432" t="s">
        <v>433</v>
      </c>
      <c r="B127" s="435" t="s">
        <v>446</v>
      </c>
      <c r="C127" s="488">
        <f t="shared" si="262"/>
        <v>1475</v>
      </c>
      <c r="D127" s="488">
        <f t="shared" si="263"/>
        <v>1475</v>
      </c>
      <c r="E127" s="460">
        <f t="shared" ref="E127:E132" si="314">F127+G127</f>
        <v>1475</v>
      </c>
      <c r="F127" s="460"/>
      <c r="G127" s="460">
        <v>1475</v>
      </c>
      <c r="H127" s="460">
        <f t="shared" si="312"/>
        <v>0</v>
      </c>
      <c r="I127" s="460"/>
      <c r="J127" s="460"/>
      <c r="K127" s="489">
        <f t="shared" si="159"/>
        <v>0</v>
      </c>
      <c r="L127" s="489">
        <f t="shared" si="160"/>
        <v>0</v>
      </c>
      <c r="M127" s="460"/>
      <c r="N127" s="489">
        <f t="shared" si="161"/>
        <v>0</v>
      </c>
      <c r="O127" s="489">
        <f t="shared" si="162"/>
        <v>0</v>
      </c>
      <c r="P127" s="460"/>
      <c r="Q127" s="462">
        <f t="shared" ref="Q127:Q130" si="315">R127+S127</f>
        <v>0</v>
      </c>
      <c r="R127" s="462">
        <f t="shared" ref="R127:R130" si="316">T127+U127+V127+W127+X127+Y127+AA127</f>
        <v>0</v>
      </c>
      <c r="S127" s="462">
        <f t="shared" ref="S127:S130" si="317">AB127</f>
        <v>0</v>
      </c>
      <c r="T127" s="462"/>
      <c r="U127" s="462"/>
      <c r="V127" s="462"/>
      <c r="W127" s="462"/>
      <c r="X127" s="462"/>
      <c r="Y127" s="462"/>
      <c r="Z127" s="462">
        <f t="shared" ref="Z127:Z130" si="318">AB127+AA127</f>
        <v>0</v>
      </c>
      <c r="AA127" s="462"/>
      <c r="AB127" s="462"/>
      <c r="AC127" s="462"/>
      <c r="AD127" s="462">
        <f t="shared" ref="AD127:AD130" si="319">AE127+AF127</f>
        <v>0</v>
      </c>
      <c r="AE127" s="462">
        <f t="shared" ref="AE127:AE130" si="320">AG127+AH127+AI127+AJ127+AK127+AM127+AO127+AP127</f>
        <v>0</v>
      </c>
      <c r="AF127" s="462">
        <f t="shared" ref="AF127:AF130" si="321">AN127</f>
        <v>0</v>
      </c>
      <c r="AG127" s="460"/>
      <c r="AH127" s="460"/>
      <c r="AI127" s="460"/>
      <c r="AJ127" s="460"/>
      <c r="AK127" s="460"/>
      <c r="AL127" s="462">
        <f t="shared" ref="AL127:AL130" si="322">AM127+AN127</f>
        <v>0</v>
      </c>
      <c r="AM127" s="460"/>
      <c r="AN127" s="460"/>
      <c r="AO127" s="460"/>
      <c r="AP127" s="460"/>
    </row>
    <row r="128" spans="1:42" s="424" customFormat="1">
      <c r="A128" s="432" t="s">
        <v>433</v>
      </c>
      <c r="B128" s="435" t="s">
        <v>465</v>
      </c>
      <c r="C128" s="488">
        <f t="shared" si="262"/>
        <v>169600</v>
      </c>
      <c r="D128" s="488">
        <f t="shared" si="263"/>
        <v>190238</v>
      </c>
      <c r="E128" s="460">
        <f>F128+G128</f>
        <v>169600</v>
      </c>
      <c r="F128" s="460"/>
      <c r="G128" s="460">
        <v>169600</v>
      </c>
      <c r="H128" s="460"/>
      <c r="I128" s="460"/>
      <c r="J128" s="460"/>
      <c r="K128" s="489">
        <f t="shared" si="159"/>
        <v>0</v>
      </c>
      <c r="L128" s="489">
        <f t="shared" si="160"/>
        <v>0</v>
      </c>
      <c r="M128" s="460"/>
      <c r="N128" s="489">
        <f t="shared" si="161"/>
        <v>20638</v>
      </c>
      <c r="O128" s="489">
        <f t="shared" si="162"/>
        <v>0</v>
      </c>
      <c r="P128" s="460">
        <f>20000-O128+638</f>
        <v>20638</v>
      </c>
      <c r="Q128" s="462">
        <f t="shared" si="315"/>
        <v>0</v>
      </c>
      <c r="R128" s="462">
        <f t="shared" si="316"/>
        <v>0</v>
      </c>
      <c r="S128" s="462">
        <f t="shared" si="317"/>
        <v>0</v>
      </c>
      <c r="T128" s="462"/>
      <c r="U128" s="462"/>
      <c r="V128" s="462"/>
      <c r="W128" s="462"/>
      <c r="X128" s="462"/>
      <c r="Y128" s="462"/>
      <c r="Z128" s="462">
        <f t="shared" si="318"/>
        <v>0</v>
      </c>
      <c r="AA128" s="462"/>
      <c r="AB128" s="462"/>
      <c r="AC128" s="462"/>
      <c r="AD128" s="462">
        <f t="shared" si="319"/>
        <v>0</v>
      </c>
      <c r="AE128" s="462">
        <f t="shared" si="320"/>
        <v>0</v>
      </c>
      <c r="AF128" s="462">
        <f t="shared" si="321"/>
        <v>0</v>
      </c>
      <c r="AG128" s="460"/>
      <c r="AH128" s="460"/>
      <c r="AI128" s="460"/>
      <c r="AJ128" s="460"/>
      <c r="AK128" s="460"/>
      <c r="AL128" s="462">
        <f t="shared" si="322"/>
        <v>0</v>
      </c>
      <c r="AM128" s="460"/>
      <c r="AN128" s="460"/>
      <c r="AO128" s="460"/>
      <c r="AP128" s="460"/>
    </row>
    <row r="129" spans="1:42" s="424" customFormat="1">
      <c r="A129" s="432" t="s">
        <v>433</v>
      </c>
      <c r="B129" s="435" t="s">
        <v>402</v>
      </c>
      <c r="C129" s="488">
        <f t="shared" si="262"/>
        <v>60242</v>
      </c>
      <c r="D129" s="488">
        <f t="shared" si="263"/>
        <v>60242</v>
      </c>
      <c r="E129" s="460">
        <f t="shared" si="314"/>
        <v>60242</v>
      </c>
      <c r="F129" s="460"/>
      <c r="G129" s="460">
        <f>60000+22+220</f>
        <v>60242</v>
      </c>
      <c r="H129" s="460">
        <f t="shared" si="312"/>
        <v>0</v>
      </c>
      <c r="I129" s="460"/>
      <c r="J129" s="460"/>
      <c r="K129" s="489">
        <f t="shared" si="159"/>
        <v>0</v>
      </c>
      <c r="L129" s="489">
        <f t="shared" si="160"/>
        <v>0</v>
      </c>
      <c r="M129" s="460"/>
      <c r="N129" s="489">
        <f t="shared" si="161"/>
        <v>0</v>
      </c>
      <c r="O129" s="489">
        <f t="shared" si="162"/>
        <v>0</v>
      </c>
      <c r="P129" s="460"/>
      <c r="Q129" s="462">
        <f t="shared" si="315"/>
        <v>0</v>
      </c>
      <c r="R129" s="462">
        <f t="shared" si="316"/>
        <v>0</v>
      </c>
      <c r="S129" s="462">
        <f t="shared" si="317"/>
        <v>0</v>
      </c>
      <c r="T129" s="462"/>
      <c r="U129" s="462"/>
      <c r="V129" s="462"/>
      <c r="W129" s="462"/>
      <c r="X129" s="462"/>
      <c r="Y129" s="462"/>
      <c r="Z129" s="462">
        <f t="shared" si="318"/>
        <v>0</v>
      </c>
      <c r="AA129" s="462"/>
      <c r="AB129" s="462"/>
      <c r="AC129" s="462"/>
      <c r="AD129" s="462">
        <f t="shared" si="319"/>
        <v>0</v>
      </c>
      <c r="AE129" s="462">
        <f t="shared" si="320"/>
        <v>0</v>
      </c>
      <c r="AF129" s="462">
        <f t="shared" si="321"/>
        <v>0</v>
      </c>
      <c r="AG129" s="460"/>
      <c r="AH129" s="460"/>
      <c r="AI129" s="460"/>
      <c r="AJ129" s="460"/>
      <c r="AK129" s="460"/>
      <c r="AL129" s="462">
        <f t="shared" si="322"/>
        <v>0</v>
      </c>
      <c r="AM129" s="460"/>
      <c r="AN129" s="460"/>
      <c r="AO129" s="460"/>
      <c r="AP129" s="460"/>
    </row>
    <row r="130" spans="1:42">
      <c r="A130" s="431"/>
      <c r="B130" s="435" t="s">
        <v>447</v>
      </c>
      <c r="C130" s="488">
        <f t="shared" si="262"/>
        <v>6024.2000000000007</v>
      </c>
      <c r="D130" s="488">
        <f t="shared" si="263"/>
        <v>6024.2000000000007</v>
      </c>
      <c r="E130" s="460">
        <f t="shared" si="314"/>
        <v>6024.2000000000007</v>
      </c>
      <c r="F130" s="462"/>
      <c r="G130" s="462">
        <f>G129*10%</f>
        <v>6024.2000000000007</v>
      </c>
      <c r="H130" s="460">
        <f t="shared" si="312"/>
        <v>0</v>
      </c>
      <c r="I130" s="462"/>
      <c r="J130" s="462"/>
      <c r="K130" s="489">
        <f t="shared" si="159"/>
        <v>0</v>
      </c>
      <c r="L130" s="489">
        <f t="shared" si="160"/>
        <v>0</v>
      </c>
      <c r="M130" s="462"/>
      <c r="N130" s="489">
        <f t="shared" si="161"/>
        <v>0</v>
      </c>
      <c r="O130" s="489">
        <f t="shared" si="162"/>
        <v>0</v>
      </c>
      <c r="P130" s="462"/>
      <c r="Q130" s="462">
        <f t="shared" si="315"/>
        <v>0</v>
      </c>
      <c r="R130" s="462">
        <f t="shared" si="316"/>
        <v>0</v>
      </c>
      <c r="S130" s="462">
        <f t="shared" si="317"/>
        <v>0</v>
      </c>
      <c r="T130" s="462"/>
      <c r="U130" s="462"/>
      <c r="V130" s="462"/>
      <c r="W130" s="462"/>
      <c r="X130" s="462"/>
      <c r="Y130" s="462"/>
      <c r="Z130" s="462">
        <f t="shared" si="318"/>
        <v>0</v>
      </c>
      <c r="AA130" s="462"/>
      <c r="AB130" s="462"/>
      <c r="AC130" s="462"/>
      <c r="AD130" s="462">
        <f t="shared" si="319"/>
        <v>0</v>
      </c>
      <c r="AE130" s="462">
        <f t="shared" si="320"/>
        <v>0</v>
      </c>
      <c r="AF130" s="462">
        <f t="shared" si="321"/>
        <v>0</v>
      </c>
      <c r="AG130" s="462"/>
      <c r="AH130" s="462"/>
      <c r="AI130" s="462"/>
      <c r="AJ130" s="462"/>
      <c r="AK130" s="462"/>
      <c r="AL130" s="462">
        <f t="shared" si="322"/>
        <v>0</v>
      </c>
      <c r="AM130" s="462"/>
      <c r="AN130" s="462"/>
      <c r="AO130" s="462"/>
      <c r="AP130" s="462"/>
    </row>
    <row r="131" spans="1:42" s="434" customFormat="1">
      <c r="A131" s="561">
        <v>10</v>
      </c>
      <c r="B131" s="433" t="s">
        <v>20</v>
      </c>
      <c r="C131" s="489">
        <f>C132+C135+C140</f>
        <v>1639492</v>
      </c>
      <c r="D131" s="489">
        <f>D132+D135+D140</f>
        <v>1325044</v>
      </c>
      <c r="E131" s="543">
        <f>F131+G131</f>
        <v>778602</v>
      </c>
      <c r="F131" s="495">
        <f>F132+F135+F140</f>
        <v>190414</v>
      </c>
      <c r="G131" s="495">
        <f>G132+G135+G140</f>
        <v>588188</v>
      </c>
      <c r="H131" s="495">
        <f>I131+J131</f>
        <v>860890</v>
      </c>
      <c r="I131" s="495">
        <f>I132+I135+I140</f>
        <v>860890</v>
      </c>
      <c r="J131" s="495">
        <f>J132+J135+J140</f>
        <v>0</v>
      </c>
      <c r="K131" s="489">
        <f t="shared" si="159"/>
        <v>0</v>
      </c>
      <c r="L131" s="489">
        <f t="shared" si="160"/>
        <v>0</v>
      </c>
      <c r="M131" s="495">
        <f>M132+M135+M140</f>
        <v>0</v>
      </c>
      <c r="N131" s="489">
        <f t="shared" si="161"/>
        <v>123828</v>
      </c>
      <c r="O131" s="489">
        <f t="shared" si="162"/>
        <v>0</v>
      </c>
      <c r="P131" s="495">
        <f>P132+P135+P140</f>
        <v>123828</v>
      </c>
      <c r="Q131" s="495">
        <f t="shared" ref="Q131:AP131" si="323">Q132+Q135+Q140</f>
        <v>0</v>
      </c>
      <c r="R131" s="495">
        <f t="shared" si="323"/>
        <v>0</v>
      </c>
      <c r="S131" s="495">
        <f t="shared" si="323"/>
        <v>0</v>
      </c>
      <c r="T131" s="495">
        <f t="shared" si="323"/>
        <v>0</v>
      </c>
      <c r="U131" s="495">
        <f t="shared" si="323"/>
        <v>0</v>
      </c>
      <c r="V131" s="495">
        <f t="shared" si="323"/>
        <v>0</v>
      </c>
      <c r="W131" s="495">
        <f t="shared" si="323"/>
        <v>0</v>
      </c>
      <c r="X131" s="495">
        <f t="shared" si="323"/>
        <v>0</v>
      </c>
      <c r="Y131" s="495">
        <f t="shared" si="323"/>
        <v>0</v>
      </c>
      <c r="Z131" s="495">
        <f t="shared" si="323"/>
        <v>0</v>
      </c>
      <c r="AA131" s="495">
        <f t="shared" si="323"/>
        <v>0</v>
      </c>
      <c r="AB131" s="495">
        <f t="shared" si="323"/>
        <v>0</v>
      </c>
      <c r="AC131" s="495">
        <f t="shared" si="323"/>
        <v>0</v>
      </c>
      <c r="AD131" s="495">
        <f t="shared" si="323"/>
        <v>-438276</v>
      </c>
      <c r="AE131" s="495">
        <f t="shared" si="323"/>
        <v>0</v>
      </c>
      <c r="AF131" s="495">
        <f t="shared" si="323"/>
        <v>-438276</v>
      </c>
      <c r="AG131" s="495">
        <f t="shared" si="323"/>
        <v>0</v>
      </c>
      <c r="AH131" s="495">
        <f t="shared" si="323"/>
        <v>0</v>
      </c>
      <c r="AI131" s="495">
        <f t="shared" si="323"/>
        <v>0</v>
      </c>
      <c r="AJ131" s="495">
        <f t="shared" si="323"/>
        <v>0</v>
      </c>
      <c r="AK131" s="495">
        <f t="shared" si="323"/>
        <v>0</v>
      </c>
      <c r="AL131" s="495">
        <f t="shared" si="323"/>
        <v>-438276</v>
      </c>
      <c r="AM131" s="495">
        <f t="shared" si="323"/>
        <v>0</v>
      </c>
      <c r="AN131" s="495">
        <f t="shared" si="323"/>
        <v>-438276</v>
      </c>
      <c r="AO131" s="495">
        <f t="shared" si="323"/>
        <v>0</v>
      </c>
      <c r="AP131" s="495">
        <f t="shared" si="323"/>
        <v>0</v>
      </c>
    </row>
    <row r="132" spans="1:42">
      <c r="A132" s="431" t="s">
        <v>448</v>
      </c>
      <c r="B132" s="436" t="s">
        <v>403</v>
      </c>
      <c r="C132" s="488">
        <f t="shared" ref="C132:C145" si="324">E132+H132</f>
        <v>942444</v>
      </c>
      <c r="D132" s="488">
        <f t="shared" ref="D132:D145" si="325">E132+H132+M132+P132+Q132+AD132</f>
        <v>580578</v>
      </c>
      <c r="E132" s="460">
        <f t="shared" si="314"/>
        <v>157964</v>
      </c>
      <c r="F132" s="462">
        <f>F133+F134</f>
        <v>157964</v>
      </c>
      <c r="G132" s="462">
        <f>G133+G134</f>
        <v>0</v>
      </c>
      <c r="H132" s="462">
        <f t="shared" si="312"/>
        <v>784480</v>
      </c>
      <c r="I132" s="462">
        <f>I133+I134</f>
        <v>784480</v>
      </c>
      <c r="J132" s="462">
        <f>J133+J134</f>
        <v>0</v>
      </c>
      <c r="K132" s="489">
        <f t="shared" si="159"/>
        <v>0</v>
      </c>
      <c r="L132" s="489">
        <f t="shared" si="160"/>
        <v>0</v>
      </c>
      <c r="M132" s="462">
        <f>M133+M134</f>
        <v>0</v>
      </c>
      <c r="N132" s="489">
        <f t="shared" si="161"/>
        <v>0</v>
      </c>
      <c r="O132" s="489">
        <f t="shared" si="162"/>
        <v>0</v>
      </c>
      <c r="P132" s="462">
        <f>P133+P134</f>
        <v>0</v>
      </c>
      <c r="Q132" s="462">
        <f t="shared" ref="Q132:AP132" si="326">Q133+Q134</f>
        <v>0</v>
      </c>
      <c r="R132" s="462">
        <f t="shared" si="326"/>
        <v>0</v>
      </c>
      <c r="S132" s="462">
        <f t="shared" si="326"/>
        <v>0</v>
      </c>
      <c r="T132" s="462">
        <f t="shared" si="326"/>
        <v>0</v>
      </c>
      <c r="U132" s="462">
        <f t="shared" si="326"/>
        <v>0</v>
      </c>
      <c r="V132" s="462">
        <f t="shared" si="326"/>
        <v>0</v>
      </c>
      <c r="W132" s="462">
        <f t="shared" si="326"/>
        <v>0</v>
      </c>
      <c r="X132" s="462">
        <f t="shared" si="326"/>
        <v>0</v>
      </c>
      <c r="Y132" s="462">
        <f t="shared" si="326"/>
        <v>0</v>
      </c>
      <c r="Z132" s="462">
        <f t="shared" si="326"/>
        <v>0</v>
      </c>
      <c r="AA132" s="462">
        <f t="shared" si="326"/>
        <v>0</v>
      </c>
      <c r="AB132" s="462">
        <f t="shared" si="326"/>
        <v>0</v>
      </c>
      <c r="AC132" s="462">
        <f t="shared" si="326"/>
        <v>0</v>
      </c>
      <c r="AD132" s="462">
        <f t="shared" si="326"/>
        <v>-361866</v>
      </c>
      <c r="AE132" s="462">
        <f t="shared" si="326"/>
        <v>0</v>
      </c>
      <c r="AF132" s="462">
        <f t="shared" si="326"/>
        <v>-361866</v>
      </c>
      <c r="AG132" s="462">
        <f t="shared" si="326"/>
        <v>0</v>
      </c>
      <c r="AH132" s="462">
        <f t="shared" si="326"/>
        <v>0</v>
      </c>
      <c r="AI132" s="462">
        <f t="shared" si="326"/>
        <v>0</v>
      </c>
      <c r="AJ132" s="462">
        <f t="shared" si="326"/>
        <v>0</v>
      </c>
      <c r="AK132" s="462">
        <f t="shared" si="326"/>
        <v>0</v>
      </c>
      <c r="AL132" s="462">
        <f t="shared" si="326"/>
        <v>-361866</v>
      </c>
      <c r="AM132" s="462">
        <f t="shared" si="326"/>
        <v>0</v>
      </c>
      <c r="AN132" s="462">
        <f t="shared" si="326"/>
        <v>-361866</v>
      </c>
      <c r="AO132" s="462">
        <f t="shared" si="326"/>
        <v>0</v>
      </c>
      <c r="AP132" s="462">
        <f t="shared" si="326"/>
        <v>0</v>
      </c>
    </row>
    <row r="133" spans="1:42" s="424" customFormat="1">
      <c r="A133" s="432" t="s">
        <v>433</v>
      </c>
      <c r="B133" s="435" t="s">
        <v>37</v>
      </c>
      <c r="C133" s="488">
        <f t="shared" si="324"/>
        <v>450772</v>
      </c>
      <c r="D133" s="488">
        <f t="shared" si="325"/>
        <v>450772</v>
      </c>
      <c r="E133" s="460">
        <f>F133+G133</f>
        <v>48039</v>
      </c>
      <c r="F133" s="460">
        <v>48039</v>
      </c>
      <c r="G133" s="460"/>
      <c r="H133" s="460">
        <f t="shared" si="312"/>
        <v>402733</v>
      </c>
      <c r="I133" s="460">
        <f>422614-19881</f>
        <v>402733</v>
      </c>
      <c r="J133" s="460"/>
      <c r="K133" s="489">
        <f t="shared" si="159"/>
        <v>0</v>
      </c>
      <c r="L133" s="489">
        <f t="shared" si="160"/>
        <v>0</v>
      </c>
      <c r="M133" s="460"/>
      <c r="N133" s="489">
        <f t="shared" si="161"/>
        <v>0</v>
      </c>
      <c r="O133" s="489">
        <f t="shared" si="162"/>
        <v>0</v>
      </c>
      <c r="P133" s="460"/>
      <c r="Q133" s="462">
        <f t="shared" ref="Q133:Q134" si="327">R133+S133</f>
        <v>0</v>
      </c>
      <c r="R133" s="462">
        <f t="shared" ref="R133:R134" si="328">T133+U133+V133+W133+X133+Y133+AA133</f>
        <v>0</v>
      </c>
      <c r="S133" s="462">
        <f t="shared" ref="S133:S134" si="329">AB133</f>
        <v>0</v>
      </c>
      <c r="T133" s="462"/>
      <c r="U133" s="462"/>
      <c r="V133" s="462"/>
      <c r="W133" s="462"/>
      <c r="X133" s="462"/>
      <c r="Y133" s="462"/>
      <c r="Z133" s="462">
        <f t="shared" ref="Z133:Z134" si="330">AB133+AA133</f>
        <v>0</v>
      </c>
      <c r="AA133" s="462"/>
      <c r="AB133" s="462"/>
      <c r="AC133" s="462"/>
      <c r="AD133" s="462">
        <f t="shared" ref="AD133:AD134" si="331">AE133+AF133</f>
        <v>0</v>
      </c>
      <c r="AE133" s="462">
        <f t="shared" ref="AE133:AE134" si="332">AG133+AH133+AI133+AJ133+AK133+AM133+AO133+AP133</f>
        <v>0</v>
      </c>
      <c r="AF133" s="462">
        <f t="shared" ref="AF133:AF134" si="333">AN133</f>
        <v>0</v>
      </c>
      <c r="AG133" s="460"/>
      <c r="AH133" s="460"/>
      <c r="AI133" s="460"/>
      <c r="AJ133" s="460"/>
      <c r="AK133" s="460"/>
      <c r="AL133" s="462">
        <f t="shared" ref="AL133:AL134" si="334">AM133+AN133</f>
        <v>0</v>
      </c>
      <c r="AM133" s="460"/>
      <c r="AN133" s="460"/>
      <c r="AO133" s="460"/>
      <c r="AP133" s="460"/>
    </row>
    <row r="134" spans="1:42" s="424" customFormat="1">
      <c r="A134" s="432" t="s">
        <v>433</v>
      </c>
      <c r="B134" s="435" t="s">
        <v>437</v>
      </c>
      <c r="C134" s="488">
        <f t="shared" si="324"/>
        <v>491672</v>
      </c>
      <c r="D134" s="488">
        <f t="shared" si="325"/>
        <v>129806</v>
      </c>
      <c r="E134" s="460">
        <f t="shared" si="296"/>
        <v>109925</v>
      </c>
      <c r="F134" s="460">
        <f>75225+700+34000</f>
        <v>109925</v>
      </c>
      <c r="G134" s="460"/>
      <c r="H134" s="460">
        <f t="shared" si="312"/>
        <v>381747</v>
      </c>
      <c r="I134" s="460">
        <f>438276+19881-I135</f>
        <v>381747</v>
      </c>
      <c r="J134" s="460"/>
      <c r="K134" s="489">
        <f t="shared" si="159"/>
        <v>0</v>
      </c>
      <c r="L134" s="489">
        <f t="shared" si="160"/>
        <v>0</v>
      </c>
      <c r="M134" s="460"/>
      <c r="N134" s="489">
        <f t="shared" si="161"/>
        <v>0</v>
      </c>
      <c r="O134" s="489">
        <f t="shared" si="162"/>
        <v>0</v>
      </c>
      <c r="P134" s="460"/>
      <c r="Q134" s="462">
        <f t="shared" si="327"/>
        <v>0</v>
      </c>
      <c r="R134" s="462">
        <f t="shared" si="328"/>
        <v>0</v>
      </c>
      <c r="S134" s="462">
        <f t="shared" si="329"/>
        <v>0</v>
      </c>
      <c r="T134" s="462"/>
      <c r="U134" s="462"/>
      <c r="V134" s="462"/>
      <c r="W134" s="462"/>
      <c r="X134" s="462"/>
      <c r="Y134" s="462"/>
      <c r="Z134" s="462">
        <f t="shared" si="330"/>
        <v>0</v>
      </c>
      <c r="AA134" s="462"/>
      <c r="AB134" s="462"/>
      <c r="AC134" s="462"/>
      <c r="AD134" s="462">
        <f t="shared" si="331"/>
        <v>-361866</v>
      </c>
      <c r="AE134" s="462">
        <f t="shared" si="332"/>
        <v>0</v>
      </c>
      <c r="AF134" s="462">
        <f t="shared" si="333"/>
        <v>-361866</v>
      </c>
      <c r="AG134" s="460"/>
      <c r="AH134" s="460"/>
      <c r="AI134" s="460"/>
      <c r="AJ134" s="460"/>
      <c r="AK134" s="460"/>
      <c r="AL134" s="462">
        <f t="shared" si="334"/>
        <v>-361866</v>
      </c>
      <c r="AM134" s="460"/>
      <c r="AN134" s="460">
        <f>-(438276-29550-46860)</f>
        <v>-361866</v>
      </c>
      <c r="AO134" s="460"/>
      <c r="AP134" s="460"/>
    </row>
    <row r="135" spans="1:42">
      <c r="A135" s="431" t="s">
        <v>449</v>
      </c>
      <c r="B135" s="436" t="s">
        <v>445</v>
      </c>
      <c r="C135" s="488">
        <f t="shared" si="324"/>
        <v>146902</v>
      </c>
      <c r="D135" s="488">
        <f t="shared" si="325"/>
        <v>80582</v>
      </c>
      <c r="E135" s="462">
        <f t="shared" si="296"/>
        <v>70492</v>
      </c>
      <c r="F135" s="462">
        <f>SUM(F136:F139)</f>
        <v>32450</v>
      </c>
      <c r="G135" s="462">
        <f>SUM(G136:G139)</f>
        <v>38042</v>
      </c>
      <c r="H135" s="462">
        <f t="shared" si="312"/>
        <v>76410</v>
      </c>
      <c r="I135" s="462">
        <f>SUM(I136:I139)</f>
        <v>76410</v>
      </c>
      <c r="J135" s="462">
        <f>SUM(J136:J139)</f>
        <v>0</v>
      </c>
      <c r="K135" s="489">
        <f t="shared" si="159"/>
        <v>0</v>
      </c>
      <c r="L135" s="489">
        <f t="shared" si="160"/>
        <v>0</v>
      </c>
      <c r="M135" s="462">
        <f>SUM(M136:M139)</f>
        <v>0</v>
      </c>
      <c r="N135" s="489">
        <f t="shared" si="161"/>
        <v>10090</v>
      </c>
      <c r="O135" s="489">
        <f t="shared" si="162"/>
        <v>0</v>
      </c>
      <c r="P135" s="462">
        <f>SUM(P136:P139)</f>
        <v>10090</v>
      </c>
      <c r="Q135" s="462">
        <f t="shared" ref="Q135:AP135" si="335">SUM(Q136:Q139)</f>
        <v>0</v>
      </c>
      <c r="R135" s="462">
        <f t="shared" si="335"/>
        <v>0</v>
      </c>
      <c r="S135" s="462">
        <f t="shared" si="335"/>
        <v>0</v>
      </c>
      <c r="T135" s="462">
        <f t="shared" si="335"/>
        <v>0</v>
      </c>
      <c r="U135" s="462">
        <f t="shared" si="335"/>
        <v>0</v>
      </c>
      <c r="V135" s="462">
        <f t="shared" si="335"/>
        <v>0</v>
      </c>
      <c r="W135" s="462">
        <f t="shared" si="335"/>
        <v>0</v>
      </c>
      <c r="X135" s="462">
        <f t="shared" si="335"/>
        <v>0</v>
      </c>
      <c r="Y135" s="462">
        <f t="shared" si="335"/>
        <v>0</v>
      </c>
      <c r="Z135" s="462">
        <f t="shared" si="335"/>
        <v>0</v>
      </c>
      <c r="AA135" s="462">
        <f t="shared" si="335"/>
        <v>0</v>
      </c>
      <c r="AB135" s="462">
        <f t="shared" si="335"/>
        <v>0</v>
      </c>
      <c r="AC135" s="462">
        <f t="shared" si="335"/>
        <v>0</v>
      </c>
      <c r="AD135" s="462">
        <f t="shared" si="335"/>
        <v>-76410</v>
      </c>
      <c r="AE135" s="462">
        <f t="shared" si="335"/>
        <v>0</v>
      </c>
      <c r="AF135" s="462">
        <f t="shared" si="335"/>
        <v>-76410</v>
      </c>
      <c r="AG135" s="462">
        <f t="shared" si="335"/>
        <v>0</v>
      </c>
      <c r="AH135" s="462">
        <f t="shared" si="335"/>
        <v>0</v>
      </c>
      <c r="AI135" s="462">
        <f t="shared" si="335"/>
        <v>0</v>
      </c>
      <c r="AJ135" s="462">
        <f t="shared" si="335"/>
        <v>0</v>
      </c>
      <c r="AK135" s="462">
        <f t="shared" si="335"/>
        <v>0</v>
      </c>
      <c r="AL135" s="462">
        <f t="shared" si="335"/>
        <v>-76410</v>
      </c>
      <c r="AM135" s="462">
        <f t="shared" si="335"/>
        <v>0</v>
      </c>
      <c r="AN135" s="462">
        <f t="shared" si="335"/>
        <v>-76410</v>
      </c>
      <c r="AO135" s="462">
        <f t="shared" si="335"/>
        <v>0</v>
      </c>
      <c r="AP135" s="462">
        <f t="shared" si="335"/>
        <v>0</v>
      </c>
    </row>
    <row r="136" spans="1:42">
      <c r="A136" s="431" t="s">
        <v>433</v>
      </c>
      <c r="B136" s="108" t="s">
        <v>126</v>
      </c>
      <c r="C136" s="488">
        <f t="shared" si="324"/>
        <v>87641</v>
      </c>
      <c r="D136" s="488">
        <f t="shared" si="325"/>
        <v>58091</v>
      </c>
      <c r="E136" s="462">
        <f t="shared" si="296"/>
        <v>58091</v>
      </c>
      <c r="F136" s="462">
        <v>32450</v>
      </c>
      <c r="G136" s="462">
        <v>25641</v>
      </c>
      <c r="H136" s="546">
        <f t="shared" si="312"/>
        <v>29550</v>
      </c>
      <c r="I136" s="546">
        <v>29550</v>
      </c>
      <c r="J136" s="546"/>
      <c r="K136" s="489">
        <f t="shared" si="159"/>
        <v>0</v>
      </c>
      <c r="L136" s="489">
        <f t="shared" si="160"/>
        <v>0</v>
      </c>
      <c r="M136" s="546"/>
      <c r="N136" s="489">
        <f t="shared" si="161"/>
        <v>0</v>
      </c>
      <c r="O136" s="489">
        <f t="shared" si="162"/>
        <v>0</v>
      </c>
      <c r="P136" s="546"/>
      <c r="Q136" s="462">
        <f t="shared" ref="Q136:Q139" si="336">R136+S136</f>
        <v>0</v>
      </c>
      <c r="R136" s="462">
        <f t="shared" ref="R136:R139" si="337">T136+U136+V136+W136+X136+Y136+AA136</f>
        <v>0</v>
      </c>
      <c r="S136" s="462">
        <f t="shared" ref="S136:S139" si="338">AB136</f>
        <v>0</v>
      </c>
      <c r="T136" s="462"/>
      <c r="U136" s="462"/>
      <c r="V136" s="462"/>
      <c r="W136" s="462"/>
      <c r="X136" s="462"/>
      <c r="Y136" s="462"/>
      <c r="Z136" s="462">
        <f t="shared" ref="Z136:Z139" si="339">AB136+AA136</f>
        <v>0</v>
      </c>
      <c r="AA136" s="462"/>
      <c r="AB136" s="462"/>
      <c r="AC136" s="462"/>
      <c r="AD136" s="462">
        <f t="shared" ref="AD136:AD139" si="340">AE136+AF136</f>
        <v>-29550</v>
      </c>
      <c r="AE136" s="462">
        <f t="shared" ref="AE136:AE139" si="341">AG136+AH136+AI136+AJ136+AK136+AM136+AO136+AP136</f>
        <v>0</v>
      </c>
      <c r="AF136" s="462">
        <f t="shared" ref="AF136:AF139" si="342">AN136</f>
        <v>-29550</v>
      </c>
      <c r="AG136" s="546"/>
      <c r="AH136" s="546"/>
      <c r="AI136" s="546"/>
      <c r="AJ136" s="546"/>
      <c r="AK136" s="546"/>
      <c r="AL136" s="462">
        <f t="shared" ref="AL136:AL139" si="343">AM136+AN136</f>
        <v>-29550</v>
      </c>
      <c r="AM136" s="546"/>
      <c r="AN136" s="546">
        <v>-29550</v>
      </c>
      <c r="AO136" s="546"/>
      <c r="AP136" s="546"/>
    </row>
    <row r="137" spans="1:42" ht="31.5">
      <c r="A137" s="431" t="s">
        <v>433</v>
      </c>
      <c r="B137" s="108" t="s">
        <v>171</v>
      </c>
      <c r="C137" s="488">
        <f t="shared" si="324"/>
        <v>53261</v>
      </c>
      <c r="D137" s="488">
        <f t="shared" si="325"/>
        <v>6401</v>
      </c>
      <c r="E137" s="462">
        <f t="shared" si="296"/>
        <v>6401</v>
      </c>
      <c r="F137" s="462"/>
      <c r="G137" s="462">
        <v>6401</v>
      </c>
      <c r="H137" s="546">
        <f t="shared" si="312"/>
        <v>46860</v>
      </c>
      <c r="I137" s="546">
        <v>46860</v>
      </c>
      <c r="J137" s="546"/>
      <c r="K137" s="489">
        <f t="shared" si="159"/>
        <v>0</v>
      </c>
      <c r="L137" s="489">
        <f t="shared" si="160"/>
        <v>0</v>
      </c>
      <c r="M137" s="546"/>
      <c r="N137" s="489">
        <f>O137+P137</f>
        <v>0</v>
      </c>
      <c r="O137" s="489">
        <f>Y137+AP137</f>
        <v>0</v>
      </c>
      <c r="P137" s="546"/>
      <c r="Q137" s="462">
        <f t="shared" si="336"/>
        <v>0</v>
      </c>
      <c r="R137" s="462">
        <f t="shared" si="337"/>
        <v>0</v>
      </c>
      <c r="S137" s="462">
        <f t="shared" si="338"/>
        <v>0</v>
      </c>
      <c r="T137" s="462"/>
      <c r="U137" s="462"/>
      <c r="V137" s="462"/>
      <c r="W137" s="462"/>
      <c r="X137" s="462"/>
      <c r="Y137" s="462"/>
      <c r="Z137" s="462">
        <f t="shared" si="339"/>
        <v>0</v>
      </c>
      <c r="AA137" s="462"/>
      <c r="AB137" s="462"/>
      <c r="AC137" s="462"/>
      <c r="AD137" s="462">
        <f t="shared" si="340"/>
        <v>-46860</v>
      </c>
      <c r="AE137" s="462">
        <f t="shared" si="341"/>
        <v>0</v>
      </c>
      <c r="AF137" s="462">
        <f t="shared" si="342"/>
        <v>-46860</v>
      </c>
      <c r="AG137" s="546"/>
      <c r="AH137" s="546"/>
      <c r="AI137" s="546"/>
      <c r="AJ137" s="546"/>
      <c r="AK137" s="546"/>
      <c r="AL137" s="462">
        <f t="shared" si="343"/>
        <v>-46860</v>
      </c>
      <c r="AM137" s="546"/>
      <c r="AN137" s="546">
        <v>-46860</v>
      </c>
      <c r="AO137" s="546"/>
      <c r="AP137" s="546"/>
    </row>
    <row r="138" spans="1:42" ht="31.5">
      <c r="A138" s="431" t="s">
        <v>433</v>
      </c>
      <c r="B138" s="108" t="s">
        <v>529</v>
      </c>
      <c r="C138" s="488">
        <f t="shared" ref="C138" si="344">E138+H138</f>
        <v>0</v>
      </c>
      <c r="D138" s="488">
        <f t="shared" si="325"/>
        <v>6669</v>
      </c>
      <c r="E138" s="462">
        <f t="shared" ref="E138" si="345">F138+G138</f>
        <v>0</v>
      </c>
      <c r="F138" s="462"/>
      <c r="G138" s="462"/>
      <c r="H138" s="546">
        <f t="shared" ref="H138" si="346">I138+J138</f>
        <v>0</v>
      </c>
      <c r="I138" s="546"/>
      <c r="J138" s="546"/>
      <c r="K138" s="489">
        <f t="shared" ref="K138" si="347">L138+M138</f>
        <v>0</v>
      </c>
      <c r="L138" s="489">
        <f t="shared" ref="L138" si="348">T138+AG138</f>
        <v>0</v>
      </c>
      <c r="M138" s="546"/>
      <c r="N138" s="489">
        <f t="shared" ref="N138" si="349">O138+P138</f>
        <v>6669</v>
      </c>
      <c r="O138" s="489">
        <f>Y138+AP138</f>
        <v>0</v>
      </c>
      <c r="P138" s="546">
        <f>222+5584+67+796-O138</f>
        <v>6669</v>
      </c>
      <c r="Q138" s="462">
        <f t="shared" ref="Q138" si="350">R138+S138</f>
        <v>0</v>
      </c>
      <c r="R138" s="462">
        <f t="shared" ref="R138" si="351">T138+U138+V138+W138+X138+Y138+AA138</f>
        <v>0</v>
      </c>
      <c r="S138" s="462">
        <f t="shared" ref="S138" si="352">AB138</f>
        <v>0</v>
      </c>
      <c r="T138" s="462"/>
      <c r="U138" s="462"/>
      <c r="V138" s="462"/>
      <c r="W138" s="462"/>
      <c r="X138" s="462"/>
      <c r="Y138" s="462"/>
      <c r="Z138" s="462">
        <f t="shared" ref="Z138" si="353">AB138+AA138</f>
        <v>0</v>
      </c>
      <c r="AA138" s="462"/>
      <c r="AB138" s="462"/>
      <c r="AC138" s="462"/>
      <c r="AD138" s="462">
        <f t="shared" ref="AD138" si="354">AE138+AF138</f>
        <v>0</v>
      </c>
      <c r="AE138" s="462">
        <f t="shared" ref="AE138" si="355">AG138+AH138+AI138+AJ138+AK138+AM138+AO138+AP138</f>
        <v>0</v>
      </c>
      <c r="AF138" s="462">
        <f t="shared" ref="AF138" si="356">AN138</f>
        <v>0</v>
      </c>
      <c r="AG138" s="546"/>
      <c r="AH138" s="546"/>
      <c r="AI138" s="546"/>
      <c r="AJ138" s="546"/>
      <c r="AK138" s="546"/>
      <c r="AL138" s="462">
        <f t="shared" ref="AL138" si="357">AM138+AN138</f>
        <v>0</v>
      </c>
      <c r="AM138" s="546"/>
      <c r="AN138" s="546"/>
      <c r="AO138" s="546"/>
      <c r="AP138" s="546"/>
    </row>
    <row r="139" spans="1:42">
      <c r="A139" s="431" t="s">
        <v>433</v>
      </c>
      <c r="B139" s="108" t="s">
        <v>174</v>
      </c>
      <c r="C139" s="488">
        <f t="shared" si="324"/>
        <v>6000</v>
      </c>
      <c r="D139" s="488">
        <f t="shared" si="325"/>
        <v>9421</v>
      </c>
      <c r="E139" s="462">
        <f t="shared" si="296"/>
        <v>6000</v>
      </c>
      <c r="F139" s="462"/>
      <c r="G139" s="462">
        <v>6000</v>
      </c>
      <c r="H139" s="462">
        <f t="shared" si="312"/>
        <v>0</v>
      </c>
      <c r="I139" s="462"/>
      <c r="J139" s="462"/>
      <c r="K139" s="489">
        <f t="shared" si="159"/>
        <v>0</v>
      </c>
      <c r="L139" s="489">
        <f t="shared" si="160"/>
        <v>0</v>
      </c>
      <c r="M139" s="462"/>
      <c r="N139" s="489">
        <f t="shared" si="161"/>
        <v>3421</v>
      </c>
      <c r="O139" s="489">
        <f t="shared" si="162"/>
        <v>0</v>
      </c>
      <c r="P139" s="462">
        <f>3421-O139</f>
        <v>3421</v>
      </c>
      <c r="Q139" s="462">
        <f t="shared" si="336"/>
        <v>0</v>
      </c>
      <c r="R139" s="462">
        <f t="shared" si="337"/>
        <v>0</v>
      </c>
      <c r="S139" s="462">
        <f t="shared" si="338"/>
        <v>0</v>
      </c>
      <c r="T139" s="462"/>
      <c r="U139" s="462"/>
      <c r="V139" s="462"/>
      <c r="W139" s="462"/>
      <c r="X139" s="462"/>
      <c r="Y139" s="462"/>
      <c r="Z139" s="462">
        <f t="shared" si="339"/>
        <v>0</v>
      </c>
      <c r="AA139" s="462"/>
      <c r="AB139" s="462"/>
      <c r="AC139" s="462"/>
      <c r="AD139" s="462">
        <f t="shared" si="340"/>
        <v>0</v>
      </c>
      <c r="AE139" s="462">
        <f t="shared" si="341"/>
        <v>0</v>
      </c>
      <c r="AF139" s="462">
        <f t="shared" si="342"/>
        <v>0</v>
      </c>
      <c r="AG139" s="462"/>
      <c r="AH139" s="462"/>
      <c r="AI139" s="462"/>
      <c r="AJ139" s="462"/>
      <c r="AK139" s="462"/>
      <c r="AL139" s="462">
        <f t="shared" si="343"/>
        <v>0</v>
      </c>
      <c r="AM139" s="462"/>
      <c r="AN139" s="462"/>
      <c r="AO139" s="462"/>
      <c r="AP139" s="462"/>
    </row>
    <row r="140" spans="1:42">
      <c r="A140" s="431" t="s">
        <v>450</v>
      </c>
      <c r="B140" s="108" t="s">
        <v>402</v>
      </c>
      <c r="C140" s="488">
        <f t="shared" si="324"/>
        <v>550146</v>
      </c>
      <c r="D140" s="488">
        <f t="shared" si="325"/>
        <v>663884</v>
      </c>
      <c r="E140" s="462">
        <f>F140+G140</f>
        <v>550146</v>
      </c>
      <c r="F140" s="462">
        <f>SUM(F141:F143)</f>
        <v>0</v>
      </c>
      <c r="G140" s="462">
        <f>SUM(G141:G143)</f>
        <v>550146</v>
      </c>
      <c r="H140" s="462">
        <f>I140+J140</f>
        <v>0</v>
      </c>
      <c r="I140" s="462">
        <f>SUM(I141:I143)</f>
        <v>0</v>
      </c>
      <c r="J140" s="462">
        <f>SUM(J141:J143)</f>
        <v>0</v>
      </c>
      <c r="K140" s="489">
        <f t="shared" si="159"/>
        <v>0</v>
      </c>
      <c r="L140" s="489">
        <f t="shared" si="160"/>
        <v>0</v>
      </c>
      <c r="M140" s="462">
        <f>SUM(M141:M143)</f>
        <v>0</v>
      </c>
      <c r="N140" s="489">
        <f t="shared" si="161"/>
        <v>113738</v>
      </c>
      <c r="O140" s="489">
        <f t="shared" si="162"/>
        <v>0</v>
      </c>
      <c r="P140" s="462">
        <f>SUM(P141:P143)</f>
        <v>113738</v>
      </c>
      <c r="Q140" s="462">
        <f t="shared" ref="Q140:AP140" si="358">SUM(Q141:Q143)</f>
        <v>0</v>
      </c>
      <c r="R140" s="462">
        <f t="shared" si="358"/>
        <v>0</v>
      </c>
      <c r="S140" s="462">
        <f t="shared" si="358"/>
        <v>0</v>
      </c>
      <c r="T140" s="462">
        <f t="shared" si="358"/>
        <v>0</v>
      </c>
      <c r="U140" s="462">
        <f t="shared" si="358"/>
        <v>0</v>
      </c>
      <c r="V140" s="462">
        <f t="shared" si="358"/>
        <v>0</v>
      </c>
      <c r="W140" s="462">
        <f t="shared" si="358"/>
        <v>0</v>
      </c>
      <c r="X140" s="462">
        <f t="shared" si="358"/>
        <v>0</v>
      </c>
      <c r="Y140" s="462">
        <f t="shared" si="358"/>
        <v>0</v>
      </c>
      <c r="Z140" s="462">
        <f t="shared" si="358"/>
        <v>0</v>
      </c>
      <c r="AA140" s="462">
        <f t="shared" si="358"/>
        <v>0</v>
      </c>
      <c r="AB140" s="462">
        <f t="shared" si="358"/>
        <v>0</v>
      </c>
      <c r="AC140" s="462">
        <f t="shared" si="358"/>
        <v>0</v>
      </c>
      <c r="AD140" s="462">
        <f t="shared" si="358"/>
        <v>0</v>
      </c>
      <c r="AE140" s="462">
        <f t="shared" si="358"/>
        <v>0</v>
      </c>
      <c r="AF140" s="462">
        <f t="shared" si="358"/>
        <v>0</v>
      </c>
      <c r="AG140" s="462">
        <f t="shared" si="358"/>
        <v>0</v>
      </c>
      <c r="AH140" s="462">
        <f t="shared" si="358"/>
        <v>0</v>
      </c>
      <c r="AI140" s="462">
        <f t="shared" si="358"/>
        <v>0</v>
      </c>
      <c r="AJ140" s="462">
        <f t="shared" si="358"/>
        <v>0</v>
      </c>
      <c r="AK140" s="462">
        <f t="shared" si="358"/>
        <v>0</v>
      </c>
      <c r="AL140" s="462">
        <f t="shared" si="358"/>
        <v>0</v>
      </c>
      <c r="AM140" s="462">
        <f t="shared" si="358"/>
        <v>0</v>
      </c>
      <c r="AN140" s="462">
        <f t="shared" si="358"/>
        <v>0</v>
      </c>
      <c r="AO140" s="462">
        <f t="shared" si="358"/>
        <v>0</v>
      </c>
      <c r="AP140" s="462">
        <f t="shared" si="358"/>
        <v>0</v>
      </c>
    </row>
    <row r="141" spans="1:42">
      <c r="A141" s="431" t="s">
        <v>433</v>
      </c>
      <c r="B141" s="435" t="s">
        <v>446</v>
      </c>
      <c r="C141" s="488">
        <f t="shared" si="324"/>
        <v>6417</v>
      </c>
      <c r="D141" s="488">
        <f t="shared" si="325"/>
        <v>6417</v>
      </c>
      <c r="E141" s="462">
        <f t="shared" ref="E141:E146" si="359">F141+G141</f>
        <v>6417</v>
      </c>
      <c r="F141" s="462"/>
      <c r="G141" s="462">
        <v>6417</v>
      </c>
      <c r="H141" s="462">
        <f t="shared" si="312"/>
        <v>0</v>
      </c>
      <c r="I141" s="462"/>
      <c r="J141" s="462"/>
      <c r="K141" s="489">
        <f t="shared" si="159"/>
        <v>0</v>
      </c>
      <c r="L141" s="489">
        <f t="shared" si="160"/>
        <v>0</v>
      </c>
      <c r="M141" s="462"/>
      <c r="N141" s="489">
        <f t="shared" si="161"/>
        <v>0</v>
      </c>
      <c r="O141" s="489">
        <f t="shared" si="162"/>
        <v>0</v>
      </c>
      <c r="P141" s="462"/>
      <c r="Q141" s="462">
        <f t="shared" ref="Q141:Q145" si="360">R141+S141</f>
        <v>0</v>
      </c>
      <c r="R141" s="462">
        <f t="shared" ref="R141:R145" si="361">T141+U141+V141+W141+X141+Y141+AA141</f>
        <v>0</v>
      </c>
      <c r="S141" s="462">
        <f t="shared" ref="S141:S145" si="362">AB141</f>
        <v>0</v>
      </c>
      <c r="T141" s="462"/>
      <c r="U141" s="462"/>
      <c r="V141" s="462"/>
      <c r="W141" s="462"/>
      <c r="X141" s="462"/>
      <c r="Y141" s="462"/>
      <c r="Z141" s="462">
        <f t="shared" ref="Z141:Z145" si="363">AB141+AA141</f>
        <v>0</v>
      </c>
      <c r="AA141" s="462"/>
      <c r="AB141" s="462"/>
      <c r="AC141" s="462"/>
      <c r="AD141" s="462">
        <f t="shared" ref="AD141:AD145" si="364">AE141+AF141</f>
        <v>0</v>
      </c>
      <c r="AE141" s="462">
        <f t="shared" ref="AE141:AE145" si="365">AG141+AH141+AI141+AJ141+AK141+AM141+AO141+AP141</f>
        <v>0</v>
      </c>
      <c r="AF141" s="462">
        <f t="shared" ref="AF141:AF145" si="366">AN141</f>
        <v>0</v>
      </c>
      <c r="AG141" s="462"/>
      <c r="AH141" s="462"/>
      <c r="AI141" s="462"/>
      <c r="AJ141" s="462"/>
      <c r="AK141" s="462"/>
      <c r="AL141" s="462">
        <f t="shared" ref="AL141:AL145" si="367">AM141+AN141</f>
        <v>0</v>
      </c>
      <c r="AM141" s="462"/>
      <c r="AN141" s="462"/>
      <c r="AO141" s="462"/>
      <c r="AP141" s="462"/>
    </row>
    <row r="142" spans="1:42">
      <c r="A142" s="431" t="s">
        <v>433</v>
      </c>
      <c r="B142" s="435" t="s">
        <v>465</v>
      </c>
      <c r="C142" s="488">
        <f t="shared" si="324"/>
        <v>188420</v>
      </c>
      <c r="D142" s="488">
        <f t="shared" si="325"/>
        <v>302158</v>
      </c>
      <c r="E142" s="462">
        <f>F142+G142</f>
        <v>188420</v>
      </c>
      <c r="F142" s="462"/>
      <c r="G142" s="462">
        <v>188420</v>
      </c>
      <c r="H142" s="462"/>
      <c r="I142" s="462"/>
      <c r="J142" s="462"/>
      <c r="K142" s="489">
        <f t="shared" ref="K142:K196" si="368">L142+M142</f>
        <v>0</v>
      </c>
      <c r="L142" s="489">
        <f t="shared" ref="L142:L196" si="369">T142+AG142</f>
        <v>0</v>
      </c>
      <c r="M142" s="462"/>
      <c r="N142" s="489">
        <f t="shared" ref="N142:N196" si="370">O142+P142</f>
        <v>113738</v>
      </c>
      <c r="O142" s="489">
        <f t="shared" ref="O142:O196" si="371">Y142+AP142</f>
        <v>0</v>
      </c>
      <c r="P142" s="462">
        <f>113738-O142</f>
        <v>113738</v>
      </c>
      <c r="Q142" s="462">
        <f t="shared" si="360"/>
        <v>0</v>
      </c>
      <c r="R142" s="462">
        <f t="shared" si="361"/>
        <v>0</v>
      </c>
      <c r="S142" s="462">
        <f t="shared" si="362"/>
        <v>0</v>
      </c>
      <c r="T142" s="462"/>
      <c r="U142" s="462"/>
      <c r="V142" s="462"/>
      <c r="W142" s="462"/>
      <c r="X142" s="462"/>
      <c r="Y142" s="462"/>
      <c r="Z142" s="462">
        <f t="shared" si="363"/>
        <v>0</v>
      </c>
      <c r="AA142" s="462"/>
      <c r="AB142" s="462"/>
      <c r="AC142" s="462"/>
      <c r="AD142" s="462">
        <f t="shared" si="364"/>
        <v>0</v>
      </c>
      <c r="AE142" s="462">
        <f t="shared" si="365"/>
        <v>0</v>
      </c>
      <c r="AF142" s="462">
        <f t="shared" si="366"/>
        <v>0</v>
      </c>
      <c r="AG142" s="462"/>
      <c r="AH142" s="462"/>
      <c r="AI142" s="462"/>
      <c r="AJ142" s="462"/>
      <c r="AK142" s="462"/>
      <c r="AL142" s="462">
        <f t="shared" si="367"/>
        <v>0</v>
      </c>
      <c r="AM142" s="462"/>
      <c r="AN142" s="462"/>
      <c r="AO142" s="462"/>
      <c r="AP142" s="462"/>
    </row>
    <row r="143" spans="1:42">
      <c r="A143" s="431" t="s">
        <v>433</v>
      </c>
      <c r="B143" s="435" t="s">
        <v>402</v>
      </c>
      <c r="C143" s="488">
        <f t="shared" si="324"/>
        <v>355309</v>
      </c>
      <c r="D143" s="488">
        <f t="shared" si="325"/>
        <v>355309</v>
      </c>
      <c r="E143" s="462">
        <f t="shared" si="359"/>
        <v>355309</v>
      </c>
      <c r="F143" s="462"/>
      <c r="G143" s="462">
        <f>401960+186-14923+35694+5000-31435-133-8850-3250-8000-2-1000-1000-3-5704-1269+6000-15000+1628-100-5000+15000-1335+17+1828-15000</f>
        <v>355309</v>
      </c>
      <c r="H143" s="462">
        <f t="shared" si="312"/>
        <v>0</v>
      </c>
      <c r="I143" s="462"/>
      <c r="J143" s="462"/>
      <c r="K143" s="489">
        <f t="shared" si="368"/>
        <v>0</v>
      </c>
      <c r="L143" s="489">
        <f t="shared" si="369"/>
        <v>0</v>
      </c>
      <c r="M143" s="462"/>
      <c r="N143" s="489">
        <f t="shared" si="370"/>
        <v>0</v>
      </c>
      <c r="O143" s="489">
        <f t="shared" si="371"/>
        <v>0</v>
      </c>
      <c r="P143" s="462"/>
      <c r="Q143" s="462">
        <f t="shared" si="360"/>
        <v>0</v>
      </c>
      <c r="R143" s="462">
        <f t="shared" si="361"/>
        <v>0</v>
      </c>
      <c r="S143" s="462">
        <f t="shared" si="362"/>
        <v>0</v>
      </c>
      <c r="T143" s="462"/>
      <c r="U143" s="462"/>
      <c r="V143" s="462"/>
      <c r="W143" s="462"/>
      <c r="X143" s="462"/>
      <c r="Y143" s="462"/>
      <c r="Z143" s="462">
        <f t="shared" si="363"/>
        <v>0</v>
      </c>
      <c r="AA143" s="462"/>
      <c r="AB143" s="462"/>
      <c r="AC143" s="462"/>
      <c r="AD143" s="462">
        <f t="shared" si="364"/>
        <v>0</v>
      </c>
      <c r="AE143" s="462">
        <f t="shared" si="365"/>
        <v>0</v>
      </c>
      <c r="AF143" s="462">
        <f t="shared" si="366"/>
        <v>0</v>
      </c>
      <c r="AG143" s="462"/>
      <c r="AH143" s="462"/>
      <c r="AI143" s="462"/>
      <c r="AJ143" s="462"/>
      <c r="AK143" s="462"/>
      <c r="AL143" s="462">
        <f t="shared" si="367"/>
        <v>0</v>
      </c>
      <c r="AM143" s="462"/>
      <c r="AN143" s="462"/>
      <c r="AO143" s="462"/>
      <c r="AP143" s="462"/>
    </row>
    <row r="144" spans="1:42" ht="31.5">
      <c r="A144" s="431"/>
      <c r="B144" s="439" t="s">
        <v>438</v>
      </c>
      <c r="C144" s="488">
        <f t="shared" si="324"/>
        <v>5000</v>
      </c>
      <c r="D144" s="488">
        <f t="shared" si="325"/>
        <v>5000</v>
      </c>
      <c r="E144" s="462">
        <f t="shared" si="359"/>
        <v>5000</v>
      </c>
      <c r="F144" s="462"/>
      <c r="G144" s="462">
        <v>5000</v>
      </c>
      <c r="H144" s="462">
        <f t="shared" si="312"/>
        <v>0</v>
      </c>
      <c r="I144" s="462"/>
      <c r="J144" s="462"/>
      <c r="K144" s="489">
        <f t="shared" si="368"/>
        <v>0</v>
      </c>
      <c r="L144" s="489">
        <f t="shared" si="369"/>
        <v>0</v>
      </c>
      <c r="M144" s="462"/>
      <c r="N144" s="489">
        <f t="shared" si="370"/>
        <v>0</v>
      </c>
      <c r="O144" s="489">
        <f t="shared" si="371"/>
        <v>0</v>
      </c>
      <c r="P144" s="462"/>
      <c r="Q144" s="462">
        <f t="shared" si="360"/>
        <v>0</v>
      </c>
      <c r="R144" s="462">
        <f t="shared" si="361"/>
        <v>0</v>
      </c>
      <c r="S144" s="462">
        <f t="shared" si="362"/>
        <v>0</v>
      </c>
      <c r="T144" s="462"/>
      <c r="U144" s="462"/>
      <c r="V144" s="462"/>
      <c r="W144" s="462"/>
      <c r="X144" s="462"/>
      <c r="Y144" s="462"/>
      <c r="Z144" s="462">
        <f t="shared" si="363"/>
        <v>0</v>
      </c>
      <c r="AA144" s="462"/>
      <c r="AB144" s="462"/>
      <c r="AC144" s="462"/>
      <c r="AD144" s="462">
        <f t="shared" si="364"/>
        <v>0</v>
      </c>
      <c r="AE144" s="462">
        <f t="shared" si="365"/>
        <v>0</v>
      </c>
      <c r="AF144" s="462">
        <f t="shared" si="366"/>
        <v>0</v>
      </c>
      <c r="AG144" s="462"/>
      <c r="AH144" s="462"/>
      <c r="AI144" s="462"/>
      <c r="AJ144" s="462"/>
      <c r="AK144" s="462"/>
      <c r="AL144" s="462">
        <f t="shared" si="367"/>
        <v>0</v>
      </c>
      <c r="AM144" s="462"/>
      <c r="AN144" s="462"/>
      <c r="AO144" s="462"/>
      <c r="AP144" s="462"/>
    </row>
    <row r="145" spans="1:42" s="422" customFormat="1" ht="31.5">
      <c r="A145" s="432"/>
      <c r="B145" s="439" t="s">
        <v>452</v>
      </c>
      <c r="C145" s="488">
        <f t="shared" si="324"/>
        <v>35530.9</v>
      </c>
      <c r="D145" s="488">
        <f t="shared" si="325"/>
        <v>35530.9</v>
      </c>
      <c r="E145" s="462">
        <f t="shared" si="359"/>
        <v>35530.9</v>
      </c>
      <c r="F145" s="464"/>
      <c r="G145" s="464">
        <f>G143*10%</f>
        <v>35530.9</v>
      </c>
      <c r="H145" s="462">
        <f t="shared" si="312"/>
        <v>0</v>
      </c>
      <c r="I145" s="464"/>
      <c r="J145" s="464"/>
      <c r="K145" s="489">
        <f t="shared" si="368"/>
        <v>0</v>
      </c>
      <c r="L145" s="489">
        <f t="shared" si="369"/>
        <v>0</v>
      </c>
      <c r="M145" s="464"/>
      <c r="N145" s="489">
        <f t="shared" si="370"/>
        <v>0</v>
      </c>
      <c r="O145" s="489">
        <f t="shared" si="371"/>
        <v>0</v>
      </c>
      <c r="P145" s="464"/>
      <c r="Q145" s="462">
        <f t="shared" si="360"/>
        <v>0</v>
      </c>
      <c r="R145" s="462">
        <f t="shared" si="361"/>
        <v>0</v>
      </c>
      <c r="S145" s="462">
        <f t="shared" si="362"/>
        <v>0</v>
      </c>
      <c r="T145" s="462"/>
      <c r="U145" s="462"/>
      <c r="V145" s="462"/>
      <c r="W145" s="462"/>
      <c r="X145" s="462"/>
      <c r="Y145" s="462"/>
      <c r="Z145" s="462">
        <f t="shared" si="363"/>
        <v>0</v>
      </c>
      <c r="AA145" s="462"/>
      <c r="AB145" s="462"/>
      <c r="AC145" s="462"/>
      <c r="AD145" s="462">
        <f t="shared" si="364"/>
        <v>0</v>
      </c>
      <c r="AE145" s="462">
        <f t="shared" si="365"/>
        <v>0</v>
      </c>
      <c r="AF145" s="462">
        <f t="shared" si="366"/>
        <v>0</v>
      </c>
      <c r="AG145" s="464"/>
      <c r="AH145" s="464"/>
      <c r="AI145" s="464"/>
      <c r="AJ145" s="464"/>
      <c r="AK145" s="464"/>
      <c r="AL145" s="462">
        <f t="shared" si="367"/>
        <v>0</v>
      </c>
      <c r="AM145" s="464"/>
      <c r="AN145" s="464"/>
      <c r="AO145" s="464"/>
      <c r="AP145" s="464"/>
    </row>
    <row r="146" spans="1:42" s="434" customFormat="1">
      <c r="A146" s="561">
        <v>11</v>
      </c>
      <c r="B146" s="433" t="s">
        <v>131</v>
      </c>
      <c r="C146" s="489">
        <f>C147+C150</f>
        <v>160306</v>
      </c>
      <c r="D146" s="489">
        <f>D147+D150</f>
        <v>148306</v>
      </c>
      <c r="E146" s="495">
        <f t="shared" si="359"/>
        <v>96886</v>
      </c>
      <c r="F146" s="495">
        <f>F147+F150</f>
        <v>33800</v>
      </c>
      <c r="G146" s="495">
        <f>G147+G150</f>
        <v>63086</v>
      </c>
      <c r="H146" s="495">
        <f t="shared" si="312"/>
        <v>63420</v>
      </c>
      <c r="I146" s="495">
        <f>I147+I150</f>
        <v>63420</v>
      </c>
      <c r="J146" s="495">
        <f>J147+J150</f>
        <v>0</v>
      </c>
      <c r="K146" s="489">
        <f t="shared" si="368"/>
        <v>0</v>
      </c>
      <c r="L146" s="489">
        <f t="shared" si="369"/>
        <v>0</v>
      </c>
      <c r="M146" s="495">
        <f>M147+M150</f>
        <v>0</v>
      </c>
      <c r="N146" s="489">
        <f t="shared" si="370"/>
        <v>0</v>
      </c>
      <c r="O146" s="489">
        <f t="shared" si="371"/>
        <v>0</v>
      </c>
      <c r="P146" s="495">
        <f>P147+P150</f>
        <v>0</v>
      </c>
      <c r="Q146" s="495">
        <f t="shared" ref="Q146:AP146" si="372">Q147+Q150</f>
        <v>0</v>
      </c>
      <c r="R146" s="495">
        <f t="shared" si="372"/>
        <v>0</v>
      </c>
      <c r="S146" s="495">
        <f t="shared" si="372"/>
        <v>0</v>
      </c>
      <c r="T146" s="495">
        <f t="shared" si="372"/>
        <v>0</v>
      </c>
      <c r="U146" s="495">
        <f t="shared" si="372"/>
        <v>0</v>
      </c>
      <c r="V146" s="495">
        <f t="shared" si="372"/>
        <v>0</v>
      </c>
      <c r="W146" s="495">
        <f t="shared" si="372"/>
        <v>0</v>
      </c>
      <c r="X146" s="495">
        <f t="shared" si="372"/>
        <v>0</v>
      </c>
      <c r="Y146" s="495">
        <f t="shared" si="372"/>
        <v>0</v>
      </c>
      <c r="Z146" s="495">
        <f t="shared" si="372"/>
        <v>0</v>
      </c>
      <c r="AA146" s="495">
        <f t="shared" si="372"/>
        <v>0</v>
      </c>
      <c r="AB146" s="495">
        <f t="shared" si="372"/>
        <v>0</v>
      </c>
      <c r="AC146" s="495">
        <f t="shared" si="372"/>
        <v>0</v>
      </c>
      <c r="AD146" s="495">
        <f t="shared" si="372"/>
        <v>-12000</v>
      </c>
      <c r="AE146" s="495">
        <f t="shared" si="372"/>
        <v>0</v>
      </c>
      <c r="AF146" s="495">
        <f t="shared" si="372"/>
        <v>-12000</v>
      </c>
      <c r="AG146" s="495">
        <f t="shared" si="372"/>
        <v>0</v>
      </c>
      <c r="AH146" s="495">
        <f t="shared" si="372"/>
        <v>0</v>
      </c>
      <c r="AI146" s="495">
        <f t="shared" si="372"/>
        <v>0</v>
      </c>
      <c r="AJ146" s="495">
        <f t="shared" si="372"/>
        <v>0</v>
      </c>
      <c r="AK146" s="495">
        <f t="shared" si="372"/>
        <v>0</v>
      </c>
      <c r="AL146" s="495">
        <f t="shared" si="372"/>
        <v>-12000</v>
      </c>
      <c r="AM146" s="495">
        <f t="shared" si="372"/>
        <v>0</v>
      </c>
      <c r="AN146" s="495">
        <f t="shared" si="372"/>
        <v>-12000</v>
      </c>
      <c r="AO146" s="495">
        <f t="shared" si="372"/>
        <v>0</v>
      </c>
      <c r="AP146" s="495">
        <f t="shared" si="372"/>
        <v>0</v>
      </c>
    </row>
    <row r="147" spans="1:42">
      <c r="A147" s="431" t="s">
        <v>117</v>
      </c>
      <c r="B147" s="436" t="s">
        <v>401</v>
      </c>
      <c r="C147" s="488">
        <f t="shared" ref="C147:C153" si="373">E147+H147</f>
        <v>97220</v>
      </c>
      <c r="D147" s="488">
        <f t="shared" ref="D147:D153" si="374">E147+H147+M147+P147+Q147+AD147</f>
        <v>85220</v>
      </c>
      <c r="E147" s="462">
        <f t="shared" si="296"/>
        <v>33800</v>
      </c>
      <c r="F147" s="462">
        <f>F148+F149</f>
        <v>33800</v>
      </c>
      <c r="G147" s="462">
        <f>G148+G149</f>
        <v>0</v>
      </c>
      <c r="H147" s="462">
        <f t="shared" si="312"/>
        <v>63420</v>
      </c>
      <c r="I147" s="462">
        <f>I148+I149</f>
        <v>63420</v>
      </c>
      <c r="J147" s="462">
        <f>J148+J149</f>
        <v>0</v>
      </c>
      <c r="K147" s="489">
        <f t="shared" si="368"/>
        <v>0</v>
      </c>
      <c r="L147" s="489">
        <f t="shared" si="369"/>
        <v>0</v>
      </c>
      <c r="M147" s="462">
        <f>M148+M149</f>
        <v>0</v>
      </c>
      <c r="N147" s="489">
        <f t="shared" si="370"/>
        <v>0</v>
      </c>
      <c r="O147" s="489">
        <f t="shared" si="371"/>
        <v>0</v>
      </c>
      <c r="P147" s="462">
        <f>P148+P149</f>
        <v>0</v>
      </c>
      <c r="Q147" s="462">
        <f t="shared" ref="Q147:AP147" si="375">Q148+Q149</f>
        <v>0</v>
      </c>
      <c r="R147" s="462">
        <f t="shared" si="375"/>
        <v>0</v>
      </c>
      <c r="S147" s="462">
        <f t="shared" si="375"/>
        <v>0</v>
      </c>
      <c r="T147" s="462">
        <f t="shared" si="375"/>
        <v>0</v>
      </c>
      <c r="U147" s="462">
        <f t="shared" si="375"/>
        <v>0</v>
      </c>
      <c r="V147" s="462">
        <f t="shared" si="375"/>
        <v>0</v>
      </c>
      <c r="W147" s="462">
        <f t="shared" si="375"/>
        <v>0</v>
      </c>
      <c r="X147" s="462">
        <f t="shared" si="375"/>
        <v>0</v>
      </c>
      <c r="Y147" s="462">
        <f t="shared" si="375"/>
        <v>0</v>
      </c>
      <c r="Z147" s="462">
        <f t="shared" si="375"/>
        <v>0</v>
      </c>
      <c r="AA147" s="462">
        <f t="shared" si="375"/>
        <v>0</v>
      </c>
      <c r="AB147" s="462">
        <f t="shared" si="375"/>
        <v>0</v>
      </c>
      <c r="AC147" s="462">
        <f t="shared" si="375"/>
        <v>0</v>
      </c>
      <c r="AD147" s="462">
        <f t="shared" si="375"/>
        <v>-12000</v>
      </c>
      <c r="AE147" s="462">
        <f t="shared" si="375"/>
        <v>0</v>
      </c>
      <c r="AF147" s="462">
        <f t="shared" si="375"/>
        <v>-12000</v>
      </c>
      <c r="AG147" s="462">
        <f t="shared" si="375"/>
        <v>0</v>
      </c>
      <c r="AH147" s="462">
        <f t="shared" si="375"/>
        <v>0</v>
      </c>
      <c r="AI147" s="462">
        <f t="shared" si="375"/>
        <v>0</v>
      </c>
      <c r="AJ147" s="462">
        <f t="shared" si="375"/>
        <v>0</v>
      </c>
      <c r="AK147" s="462">
        <f t="shared" si="375"/>
        <v>0</v>
      </c>
      <c r="AL147" s="462">
        <f t="shared" si="375"/>
        <v>-12000</v>
      </c>
      <c r="AM147" s="462">
        <f t="shared" si="375"/>
        <v>0</v>
      </c>
      <c r="AN147" s="462">
        <f t="shared" si="375"/>
        <v>-12000</v>
      </c>
      <c r="AO147" s="462">
        <f t="shared" si="375"/>
        <v>0</v>
      </c>
      <c r="AP147" s="462">
        <f t="shared" si="375"/>
        <v>0</v>
      </c>
    </row>
    <row r="148" spans="1:42" s="424" customFormat="1">
      <c r="A148" s="432" t="s">
        <v>433</v>
      </c>
      <c r="B148" s="435" t="s">
        <v>37</v>
      </c>
      <c r="C148" s="488">
        <f t="shared" si="373"/>
        <v>51920</v>
      </c>
      <c r="D148" s="488">
        <f t="shared" si="374"/>
        <v>51920</v>
      </c>
      <c r="E148" s="460">
        <f t="shared" si="296"/>
        <v>500</v>
      </c>
      <c r="F148" s="460">
        <v>500</v>
      </c>
      <c r="G148" s="460"/>
      <c r="H148" s="460">
        <f t="shared" si="312"/>
        <v>51420</v>
      </c>
      <c r="I148" s="460">
        <v>51420</v>
      </c>
      <c r="J148" s="460"/>
      <c r="K148" s="489">
        <f t="shared" si="368"/>
        <v>0</v>
      </c>
      <c r="L148" s="489">
        <f t="shared" si="369"/>
        <v>0</v>
      </c>
      <c r="M148" s="460"/>
      <c r="N148" s="489">
        <f t="shared" si="370"/>
        <v>0</v>
      </c>
      <c r="O148" s="489">
        <f t="shared" si="371"/>
        <v>0</v>
      </c>
      <c r="P148" s="460"/>
      <c r="Q148" s="462">
        <f t="shared" ref="Q148:Q149" si="376">R148+S148</f>
        <v>0</v>
      </c>
      <c r="R148" s="462">
        <f t="shared" ref="R148:R149" si="377">T148+U148+V148+W148+X148+Y148+AA148</f>
        <v>0</v>
      </c>
      <c r="S148" s="462">
        <f t="shared" ref="S148:S149" si="378">AB148</f>
        <v>0</v>
      </c>
      <c r="T148" s="462"/>
      <c r="U148" s="462"/>
      <c r="V148" s="462"/>
      <c r="W148" s="462"/>
      <c r="X148" s="462"/>
      <c r="Y148" s="462"/>
      <c r="Z148" s="462">
        <f t="shared" ref="Z148:Z149" si="379">AB148+AA148</f>
        <v>0</v>
      </c>
      <c r="AA148" s="462"/>
      <c r="AB148" s="462"/>
      <c r="AC148" s="462"/>
      <c r="AD148" s="462">
        <f t="shared" ref="AD148:AD149" si="380">AE148+AF148</f>
        <v>0</v>
      </c>
      <c r="AE148" s="462">
        <f t="shared" ref="AE148:AE149" si="381">AG148+AH148+AI148+AJ148+AK148+AM148+AO148+AP148</f>
        <v>0</v>
      </c>
      <c r="AF148" s="462">
        <f t="shared" ref="AF148:AF149" si="382">AN148</f>
        <v>0</v>
      </c>
      <c r="AG148" s="460"/>
      <c r="AH148" s="460"/>
      <c r="AI148" s="460"/>
      <c r="AJ148" s="460"/>
      <c r="AK148" s="460"/>
      <c r="AL148" s="462">
        <f t="shared" ref="AL148:AL149" si="383">AM148+AN148</f>
        <v>0</v>
      </c>
      <c r="AM148" s="460"/>
      <c r="AN148" s="460"/>
      <c r="AO148" s="460"/>
      <c r="AP148" s="460"/>
    </row>
    <row r="149" spans="1:42" s="424" customFormat="1">
      <c r="A149" s="432" t="s">
        <v>433</v>
      </c>
      <c r="B149" s="435" t="s">
        <v>437</v>
      </c>
      <c r="C149" s="488">
        <f t="shared" si="373"/>
        <v>45300</v>
      </c>
      <c r="D149" s="488">
        <f t="shared" si="374"/>
        <v>33300</v>
      </c>
      <c r="E149" s="460">
        <f t="shared" si="296"/>
        <v>33300</v>
      </c>
      <c r="F149" s="460">
        <f>32900+400</f>
        <v>33300</v>
      </c>
      <c r="G149" s="460"/>
      <c r="H149" s="460">
        <f t="shared" si="312"/>
        <v>12000</v>
      </c>
      <c r="I149" s="460">
        <v>12000</v>
      </c>
      <c r="J149" s="460"/>
      <c r="K149" s="489">
        <f t="shared" si="368"/>
        <v>0</v>
      </c>
      <c r="L149" s="489">
        <f t="shared" si="369"/>
        <v>0</v>
      </c>
      <c r="M149" s="460"/>
      <c r="N149" s="489">
        <f t="shared" si="370"/>
        <v>0</v>
      </c>
      <c r="O149" s="489">
        <f t="shared" si="371"/>
        <v>0</v>
      </c>
      <c r="P149" s="460"/>
      <c r="Q149" s="462">
        <f t="shared" si="376"/>
        <v>0</v>
      </c>
      <c r="R149" s="462">
        <f t="shared" si="377"/>
        <v>0</v>
      </c>
      <c r="S149" s="462">
        <f t="shared" si="378"/>
        <v>0</v>
      </c>
      <c r="T149" s="462"/>
      <c r="U149" s="462"/>
      <c r="V149" s="462"/>
      <c r="W149" s="462"/>
      <c r="X149" s="462"/>
      <c r="Y149" s="462"/>
      <c r="Z149" s="462">
        <f t="shared" si="379"/>
        <v>0</v>
      </c>
      <c r="AA149" s="462"/>
      <c r="AB149" s="462"/>
      <c r="AC149" s="462"/>
      <c r="AD149" s="462">
        <f t="shared" si="380"/>
        <v>-12000</v>
      </c>
      <c r="AE149" s="462">
        <f t="shared" si="381"/>
        <v>0</v>
      </c>
      <c r="AF149" s="462">
        <f t="shared" si="382"/>
        <v>-12000</v>
      </c>
      <c r="AG149" s="460"/>
      <c r="AH149" s="460"/>
      <c r="AI149" s="460"/>
      <c r="AJ149" s="460"/>
      <c r="AK149" s="460"/>
      <c r="AL149" s="462">
        <f t="shared" si="383"/>
        <v>-12000</v>
      </c>
      <c r="AM149" s="460"/>
      <c r="AN149" s="460">
        <v>-12000</v>
      </c>
      <c r="AO149" s="460"/>
      <c r="AP149" s="460"/>
    </row>
    <row r="150" spans="1:42" s="424" customFormat="1">
      <c r="A150" s="432" t="s">
        <v>119</v>
      </c>
      <c r="B150" s="480" t="s">
        <v>402</v>
      </c>
      <c r="C150" s="488">
        <f t="shared" si="373"/>
        <v>63086</v>
      </c>
      <c r="D150" s="488">
        <f t="shared" si="374"/>
        <v>63086</v>
      </c>
      <c r="E150" s="460">
        <f>F150+G150</f>
        <v>63086</v>
      </c>
      <c r="F150" s="460">
        <f>SUM(F151:F152)</f>
        <v>0</v>
      </c>
      <c r="G150" s="460">
        <f>SUM(G151:G152)</f>
        <v>63086</v>
      </c>
      <c r="H150" s="460">
        <f t="shared" si="312"/>
        <v>0</v>
      </c>
      <c r="I150" s="460">
        <f>SUM(I151:I152)</f>
        <v>0</v>
      </c>
      <c r="J150" s="460">
        <f>SUM(J151:J152)</f>
        <v>0</v>
      </c>
      <c r="K150" s="489">
        <f t="shared" si="368"/>
        <v>0</v>
      </c>
      <c r="L150" s="489">
        <f t="shared" si="369"/>
        <v>0</v>
      </c>
      <c r="M150" s="460">
        <f>SUM(M151:M152)</f>
        <v>0</v>
      </c>
      <c r="N150" s="489">
        <f t="shared" si="370"/>
        <v>0</v>
      </c>
      <c r="O150" s="489">
        <f t="shared" si="371"/>
        <v>0</v>
      </c>
      <c r="P150" s="460">
        <f>SUM(P151:P152)</f>
        <v>0</v>
      </c>
      <c r="Q150" s="460">
        <f t="shared" ref="Q150:AP150" si="384">SUM(Q151:Q152)</f>
        <v>0</v>
      </c>
      <c r="R150" s="460">
        <f t="shared" si="384"/>
        <v>0</v>
      </c>
      <c r="S150" s="460">
        <f t="shared" si="384"/>
        <v>0</v>
      </c>
      <c r="T150" s="460">
        <f t="shared" si="384"/>
        <v>0</v>
      </c>
      <c r="U150" s="460">
        <f t="shared" si="384"/>
        <v>0</v>
      </c>
      <c r="V150" s="460">
        <f t="shared" si="384"/>
        <v>0</v>
      </c>
      <c r="W150" s="460">
        <f t="shared" si="384"/>
        <v>0</v>
      </c>
      <c r="X150" s="460">
        <f t="shared" si="384"/>
        <v>0</v>
      </c>
      <c r="Y150" s="460">
        <f t="shared" si="384"/>
        <v>0</v>
      </c>
      <c r="Z150" s="460">
        <f t="shared" si="384"/>
        <v>0</v>
      </c>
      <c r="AA150" s="460">
        <f t="shared" si="384"/>
        <v>0</v>
      </c>
      <c r="AB150" s="460">
        <f t="shared" si="384"/>
        <v>0</v>
      </c>
      <c r="AC150" s="460">
        <f t="shared" si="384"/>
        <v>0</v>
      </c>
      <c r="AD150" s="460">
        <f t="shared" si="384"/>
        <v>0</v>
      </c>
      <c r="AE150" s="460">
        <f t="shared" si="384"/>
        <v>0</v>
      </c>
      <c r="AF150" s="460">
        <f t="shared" si="384"/>
        <v>0</v>
      </c>
      <c r="AG150" s="460">
        <f t="shared" si="384"/>
        <v>0</v>
      </c>
      <c r="AH150" s="460">
        <f t="shared" si="384"/>
        <v>0</v>
      </c>
      <c r="AI150" s="460">
        <f t="shared" si="384"/>
        <v>0</v>
      </c>
      <c r="AJ150" s="460">
        <f t="shared" si="384"/>
        <v>0</v>
      </c>
      <c r="AK150" s="460">
        <f t="shared" si="384"/>
        <v>0</v>
      </c>
      <c r="AL150" s="460">
        <f t="shared" si="384"/>
        <v>0</v>
      </c>
      <c r="AM150" s="460">
        <f t="shared" si="384"/>
        <v>0</v>
      </c>
      <c r="AN150" s="460">
        <f t="shared" si="384"/>
        <v>0</v>
      </c>
      <c r="AO150" s="460">
        <f t="shared" si="384"/>
        <v>0</v>
      </c>
      <c r="AP150" s="460">
        <f t="shared" si="384"/>
        <v>0</v>
      </c>
    </row>
    <row r="151" spans="1:42" s="424" customFormat="1">
      <c r="A151" s="432" t="s">
        <v>433</v>
      </c>
      <c r="B151" s="435" t="s">
        <v>446</v>
      </c>
      <c r="C151" s="488">
        <f t="shared" si="373"/>
        <v>1690</v>
      </c>
      <c r="D151" s="488">
        <f t="shared" si="374"/>
        <v>1690</v>
      </c>
      <c r="E151" s="460">
        <f>F151+G151</f>
        <v>1690</v>
      </c>
      <c r="F151" s="460"/>
      <c r="G151" s="460">
        <v>1690</v>
      </c>
      <c r="H151" s="460">
        <f t="shared" si="312"/>
        <v>0</v>
      </c>
      <c r="I151" s="460"/>
      <c r="J151" s="460"/>
      <c r="K151" s="489">
        <f t="shared" si="368"/>
        <v>0</v>
      </c>
      <c r="L151" s="489">
        <f t="shared" si="369"/>
        <v>0</v>
      </c>
      <c r="M151" s="460"/>
      <c r="N151" s="489">
        <f t="shared" si="370"/>
        <v>0</v>
      </c>
      <c r="O151" s="489">
        <f t="shared" si="371"/>
        <v>0</v>
      </c>
      <c r="P151" s="460"/>
      <c r="Q151" s="462">
        <f t="shared" ref="Q151:Q153" si="385">R151+S151</f>
        <v>0</v>
      </c>
      <c r="R151" s="462">
        <f t="shared" ref="R151:R153" si="386">T151+U151+V151+W151+X151+Y151+AA151</f>
        <v>0</v>
      </c>
      <c r="S151" s="462">
        <f t="shared" ref="S151:S153" si="387">AB151</f>
        <v>0</v>
      </c>
      <c r="T151" s="462"/>
      <c r="U151" s="462"/>
      <c r="V151" s="462"/>
      <c r="W151" s="462"/>
      <c r="X151" s="462"/>
      <c r="Y151" s="462"/>
      <c r="Z151" s="462">
        <f t="shared" ref="Z151:Z153" si="388">AB151+AA151</f>
        <v>0</v>
      </c>
      <c r="AA151" s="462"/>
      <c r="AB151" s="462"/>
      <c r="AC151" s="462"/>
      <c r="AD151" s="462">
        <f t="shared" ref="AD151:AD153" si="389">AE151+AF151</f>
        <v>0</v>
      </c>
      <c r="AE151" s="462">
        <f t="shared" ref="AE151:AE153" si="390">AG151+AH151+AI151+AJ151+AK151+AM151+AO151+AP151</f>
        <v>0</v>
      </c>
      <c r="AF151" s="462">
        <f t="shared" ref="AF151:AF153" si="391">AN151</f>
        <v>0</v>
      </c>
      <c r="AG151" s="460"/>
      <c r="AH151" s="460"/>
      <c r="AI151" s="460"/>
      <c r="AJ151" s="460"/>
      <c r="AK151" s="460"/>
      <c r="AL151" s="462">
        <f t="shared" ref="AL151:AL153" si="392">AM151+AN151</f>
        <v>0</v>
      </c>
      <c r="AM151" s="460"/>
      <c r="AN151" s="460"/>
      <c r="AO151" s="460"/>
      <c r="AP151" s="460"/>
    </row>
    <row r="152" spans="1:42" s="424" customFormat="1">
      <c r="A152" s="432" t="s">
        <v>433</v>
      </c>
      <c r="B152" s="435" t="s">
        <v>402</v>
      </c>
      <c r="C152" s="488">
        <f t="shared" si="373"/>
        <v>61396</v>
      </c>
      <c r="D152" s="488">
        <f t="shared" si="374"/>
        <v>61396</v>
      </c>
      <c r="E152" s="460">
        <f t="shared" si="296"/>
        <v>61396</v>
      </c>
      <c r="F152" s="460"/>
      <c r="G152" s="460">
        <f>55863-3000+2500-267+6300</f>
        <v>61396</v>
      </c>
      <c r="H152" s="460">
        <f t="shared" si="312"/>
        <v>0</v>
      </c>
      <c r="I152" s="460"/>
      <c r="J152" s="460"/>
      <c r="K152" s="489">
        <f t="shared" si="368"/>
        <v>0</v>
      </c>
      <c r="L152" s="489">
        <f t="shared" si="369"/>
        <v>0</v>
      </c>
      <c r="M152" s="460"/>
      <c r="N152" s="489">
        <f t="shared" si="370"/>
        <v>0</v>
      </c>
      <c r="O152" s="489">
        <f t="shared" si="371"/>
        <v>0</v>
      </c>
      <c r="P152" s="460"/>
      <c r="Q152" s="462">
        <f t="shared" si="385"/>
        <v>0</v>
      </c>
      <c r="R152" s="462">
        <f t="shared" si="386"/>
        <v>0</v>
      </c>
      <c r="S152" s="462">
        <f t="shared" si="387"/>
        <v>0</v>
      </c>
      <c r="T152" s="462"/>
      <c r="U152" s="462"/>
      <c r="V152" s="462"/>
      <c r="W152" s="462"/>
      <c r="X152" s="462"/>
      <c r="Y152" s="462"/>
      <c r="Z152" s="462">
        <f t="shared" si="388"/>
        <v>0</v>
      </c>
      <c r="AA152" s="462"/>
      <c r="AB152" s="462"/>
      <c r="AC152" s="462"/>
      <c r="AD152" s="462">
        <f t="shared" si="389"/>
        <v>0</v>
      </c>
      <c r="AE152" s="462">
        <f t="shared" si="390"/>
        <v>0</v>
      </c>
      <c r="AF152" s="462">
        <f t="shared" si="391"/>
        <v>0</v>
      </c>
      <c r="AG152" s="460"/>
      <c r="AH152" s="460"/>
      <c r="AI152" s="460"/>
      <c r="AJ152" s="460"/>
      <c r="AK152" s="460"/>
      <c r="AL152" s="462">
        <f t="shared" si="392"/>
        <v>0</v>
      </c>
      <c r="AM152" s="460"/>
      <c r="AN152" s="460"/>
      <c r="AO152" s="460"/>
      <c r="AP152" s="460"/>
    </row>
    <row r="153" spans="1:42">
      <c r="A153" s="431"/>
      <c r="B153" s="435" t="s">
        <v>447</v>
      </c>
      <c r="C153" s="488">
        <f t="shared" si="373"/>
        <v>6139.6</v>
      </c>
      <c r="D153" s="488">
        <f t="shared" si="374"/>
        <v>6139.6</v>
      </c>
      <c r="E153" s="462">
        <f t="shared" si="296"/>
        <v>6139.6</v>
      </c>
      <c r="F153" s="462"/>
      <c r="G153" s="462">
        <f>G152*10%</f>
        <v>6139.6</v>
      </c>
      <c r="H153" s="462">
        <f t="shared" si="312"/>
        <v>0</v>
      </c>
      <c r="I153" s="462"/>
      <c r="J153" s="462"/>
      <c r="K153" s="489">
        <f t="shared" si="368"/>
        <v>0</v>
      </c>
      <c r="L153" s="489">
        <f t="shared" si="369"/>
        <v>0</v>
      </c>
      <c r="M153" s="462"/>
      <c r="N153" s="489">
        <f t="shared" si="370"/>
        <v>0</v>
      </c>
      <c r="O153" s="489">
        <f t="shared" si="371"/>
        <v>0</v>
      </c>
      <c r="P153" s="462"/>
      <c r="Q153" s="462">
        <f t="shared" si="385"/>
        <v>0</v>
      </c>
      <c r="R153" s="462">
        <f t="shared" si="386"/>
        <v>0</v>
      </c>
      <c r="S153" s="462">
        <f t="shared" si="387"/>
        <v>0</v>
      </c>
      <c r="T153" s="462"/>
      <c r="U153" s="462"/>
      <c r="V153" s="462"/>
      <c r="W153" s="462"/>
      <c r="X153" s="462"/>
      <c r="Y153" s="462"/>
      <c r="Z153" s="462">
        <f t="shared" si="388"/>
        <v>0</v>
      </c>
      <c r="AA153" s="462"/>
      <c r="AB153" s="462"/>
      <c r="AC153" s="462"/>
      <c r="AD153" s="462">
        <f t="shared" si="389"/>
        <v>0</v>
      </c>
      <c r="AE153" s="462">
        <f t="shared" si="390"/>
        <v>0</v>
      </c>
      <c r="AF153" s="462">
        <f t="shared" si="391"/>
        <v>0</v>
      </c>
      <c r="AG153" s="462"/>
      <c r="AH153" s="462"/>
      <c r="AI153" s="462"/>
      <c r="AJ153" s="462"/>
      <c r="AK153" s="462"/>
      <c r="AL153" s="462">
        <f t="shared" si="392"/>
        <v>0</v>
      </c>
      <c r="AM153" s="462"/>
      <c r="AN153" s="462"/>
      <c r="AO153" s="462"/>
      <c r="AP153" s="462"/>
    </row>
    <row r="154" spans="1:42" s="434" customFormat="1">
      <c r="A154" s="561">
        <v>12</v>
      </c>
      <c r="B154" s="433" t="s">
        <v>395</v>
      </c>
      <c r="C154" s="489">
        <f>C155+C158</f>
        <v>2092707</v>
      </c>
      <c r="D154" s="489">
        <f>D155+D158</f>
        <v>2079941</v>
      </c>
      <c r="E154" s="495">
        <f>F154+G154</f>
        <v>577804</v>
      </c>
      <c r="F154" s="495">
        <f>F155+F158</f>
        <v>416604</v>
      </c>
      <c r="G154" s="495">
        <f>G155+G158</f>
        <v>161200</v>
      </c>
      <c r="H154" s="495">
        <f>H155+H158</f>
        <v>1514903</v>
      </c>
      <c r="I154" s="495">
        <f>I155+I158</f>
        <v>1514903</v>
      </c>
      <c r="J154" s="495">
        <f t="shared" ref="J154:AP154" si="393">J155+J158</f>
        <v>0</v>
      </c>
      <c r="K154" s="489">
        <f t="shared" si="368"/>
        <v>0</v>
      </c>
      <c r="L154" s="489">
        <f t="shared" si="369"/>
        <v>0</v>
      </c>
      <c r="M154" s="495">
        <f t="shared" ref="M154" si="394">M155+M158</f>
        <v>0</v>
      </c>
      <c r="N154" s="489">
        <f t="shared" si="370"/>
        <v>6746</v>
      </c>
      <c r="O154" s="489">
        <f t="shared" si="371"/>
        <v>0</v>
      </c>
      <c r="P154" s="495">
        <f t="shared" ref="P154" si="395">P155+P158</f>
        <v>6746</v>
      </c>
      <c r="Q154" s="495">
        <f t="shared" si="393"/>
        <v>0</v>
      </c>
      <c r="R154" s="495">
        <f t="shared" si="393"/>
        <v>0</v>
      </c>
      <c r="S154" s="495">
        <f t="shared" si="393"/>
        <v>0</v>
      </c>
      <c r="T154" s="495">
        <f t="shared" si="393"/>
        <v>0</v>
      </c>
      <c r="U154" s="495">
        <f t="shared" si="393"/>
        <v>0</v>
      </c>
      <c r="V154" s="495">
        <f t="shared" si="393"/>
        <v>0</v>
      </c>
      <c r="W154" s="495">
        <f t="shared" si="393"/>
        <v>0</v>
      </c>
      <c r="X154" s="495">
        <f t="shared" si="393"/>
        <v>0</v>
      </c>
      <c r="Y154" s="495">
        <f t="shared" si="393"/>
        <v>0</v>
      </c>
      <c r="Z154" s="495">
        <f t="shared" si="393"/>
        <v>0</v>
      </c>
      <c r="AA154" s="495">
        <f t="shared" si="393"/>
        <v>0</v>
      </c>
      <c r="AB154" s="495">
        <f t="shared" si="393"/>
        <v>0</v>
      </c>
      <c r="AC154" s="495">
        <f t="shared" si="393"/>
        <v>0</v>
      </c>
      <c r="AD154" s="495">
        <f t="shared" si="393"/>
        <v>-19512</v>
      </c>
      <c r="AE154" s="495">
        <f t="shared" si="393"/>
        <v>0</v>
      </c>
      <c r="AF154" s="495">
        <f t="shared" si="393"/>
        <v>-19512</v>
      </c>
      <c r="AG154" s="495">
        <f t="shared" si="393"/>
        <v>0</v>
      </c>
      <c r="AH154" s="495">
        <f t="shared" si="393"/>
        <v>0</v>
      </c>
      <c r="AI154" s="495">
        <f t="shared" si="393"/>
        <v>0</v>
      </c>
      <c r="AJ154" s="495">
        <f t="shared" si="393"/>
        <v>0</v>
      </c>
      <c r="AK154" s="495">
        <f t="shared" si="393"/>
        <v>0</v>
      </c>
      <c r="AL154" s="495">
        <f t="shared" si="393"/>
        <v>-19512</v>
      </c>
      <c r="AM154" s="495">
        <f t="shared" si="393"/>
        <v>0</v>
      </c>
      <c r="AN154" s="495">
        <f t="shared" si="393"/>
        <v>-19512</v>
      </c>
      <c r="AO154" s="495">
        <f t="shared" si="393"/>
        <v>0</v>
      </c>
      <c r="AP154" s="495">
        <f t="shared" si="393"/>
        <v>0</v>
      </c>
    </row>
    <row r="155" spans="1:42">
      <c r="A155" s="431" t="s">
        <v>129</v>
      </c>
      <c r="B155" s="436" t="s">
        <v>401</v>
      </c>
      <c r="C155" s="488">
        <f t="shared" ref="C155:C164" si="396">E155+H155</f>
        <v>1931507</v>
      </c>
      <c r="D155" s="488">
        <f t="shared" ref="D155:D164" si="397">E155+H155+M155+P155+Q155+AD155</f>
        <v>1911995</v>
      </c>
      <c r="E155" s="462">
        <f>F155+G155</f>
        <v>416604</v>
      </c>
      <c r="F155" s="462">
        <f>F156+F157</f>
        <v>416604</v>
      </c>
      <c r="G155" s="462">
        <f>G156+G157</f>
        <v>0</v>
      </c>
      <c r="H155" s="462">
        <f>I155+J155</f>
        <v>1514903</v>
      </c>
      <c r="I155" s="462">
        <f>I156+I157</f>
        <v>1514903</v>
      </c>
      <c r="J155" s="462">
        <f>J156+J157</f>
        <v>0</v>
      </c>
      <c r="K155" s="489">
        <f t="shared" si="368"/>
        <v>0</v>
      </c>
      <c r="L155" s="489">
        <f t="shared" si="369"/>
        <v>0</v>
      </c>
      <c r="M155" s="462">
        <f>M156+M157</f>
        <v>0</v>
      </c>
      <c r="N155" s="489">
        <f t="shared" si="370"/>
        <v>0</v>
      </c>
      <c r="O155" s="489">
        <f t="shared" si="371"/>
        <v>0</v>
      </c>
      <c r="P155" s="462">
        <f>P156+P157</f>
        <v>0</v>
      </c>
      <c r="Q155" s="462">
        <f t="shared" ref="Q155:AP155" si="398">Q156+Q157</f>
        <v>0</v>
      </c>
      <c r="R155" s="462">
        <f t="shared" si="398"/>
        <v>0</v>
      </c>
      <c r="S155" s="462">
        <f t="shared" si="398"/>
        <v>0</v>
      </c>
      <c r="T155" s="462">
        <f t="shared" si="398"/>
        <v>0</v>
      </c>
      <c r="U155" s="462">
        <f t="shared" si="398"/>
        <v>0</v>
      </c>
      <c r="V155" s="462">
        <f t="shared" si="398"/>
        <v>0</v>
      </c>
      <c r="W155" s="462">
        <f t="shared" si="398"/>
        <v>0</v>
      </c>
      <c r="X155" s="462">
        <f t="shared" si="398"/>
        <v>0</v>
      </c>
      <c r="Y155" s="462">
        <f t="shared" si="398"/>
        <v>0</v>
      </c>
      <c r="Z155" s="462">
        <f t="shared" si="398"/>
        <v>0</v>
      </c>
      <c r="AA155" s="462">
        <f t="shared" si="398"/>
        <v>0</v>
      </c>
      <c r="AB155" s="462">
        <f t="shared" si="398"/>
        <v>0</v>
      </c>
      <c r="AC155" s="462">
        <f t="shared" si="398"/>
        <v>0</v>
      </c>
      <c r="AD155" s="462">
        <f t="shared" si="398"/>
        <v>-19512</v>
      </c>
      <c r="AE155" s="462">
        <f t="shared" si="398"/>
        <v>0</v>
      </c>
      <c r="AF155" s="462">
        <f t="shared" si="398"/>
        <v>-19512</v>
      </c>
      <c r="AG155" s="462">
        <f t="shared" si="398"/>
        <v>0</v>
      </c>
      <c r="AH155" s="462">
        <f t="shared" si="398"/>
        <v>0</v>
      </c>
      <c r="AI155" s="462">
        <f t="shared" si="398"/>
        <v>0</v>
      </c>
      <c r="AJ155" s="462">
        <f t="shared" si="398"/>
        <v>0</v>
      </c>
      <c r="AK155" s="462">
        <f t="shared" si="398"/>
        <v>0</v>
      </c>
      <c r="AL155" s="462">
        <f t="shared" si="398"/>
        <v>-19512</v>
      </c>
      <c r="AM155" s="462">
        <f t="shared" si="398"/>
        <v>0</v>
      </c>
      <c r="AN155" s="462">
        <f t="shared" si="398"/>
        <v>-19512</v>
      </c>
      <c r="AO155" s="462">
        <f t="shared" si="398"/>
        <v>0</v>
      </c>
      <c r="AP155" s="462">
        <f t="shared" si="398"/>
        <v>0</v>
      </c>
    </row>
    <row r="156" spans="1:42" s="424" customFormat="1">
      <c r="A156" s="432" t="s">
        <v>433</v>
      </c>
      <c r="B156" s="435" t="s">
        <v>37</v>
      </c>
      <c r="C156" s="488">
        <f t="shared" si="396"/>
        <v>1829845</v>
      </c>
      <c r="D156" s="488">
        <f t="shared" si="397"/>
        <v>1829845</v>
      </c>
      <c r="E156" s="460">
        <f t="shared" si="296"/>
        <v>334454</v>
      </c>
      <c r="F156" s="460">
        <f>259847+74036+171+400</f>
        <v>334454</v>
      </c>
      <c r="G156" s="460"/>
      <c r="H156" s="460">
        <f t="shared" si="312"/>
        <v>1495391</v>
      </c>
      <c r="I156" s="460">
        <f>505183+990208</f>
        <v>1495391</v>
      </c>
      <c r="J156" s="460"/>
      <c r="K156" s="489">
        <f t="shared" si="368"/>
        <v>0</v>
      </c>
      <c r="L156" s="489">
        <f t="shared" si="369"/>
        <v>0</v>
      </c>
      <c r="M156" s="460"/>
      <c r="N156" s="489">
        <f t="shared" si="370"/>
        <v>0</v>
      </c>
      <c r="O156" s="489">
        <f t="shared" si="371"/>
        <v>0</v>
      </c>
      <c r="P156" s="460"/>
      <c r="Q156" s="462">
        <f t="shared" ref="Q156:Q157" si="399">R156+S156</f>
        <v>0</v>
      </c>
      <c r="R156" s="462">
        <f t="shared" ref="R156:R157" si="400">T156+U156+V156+W156+X156+Y156+AA156</f>
        <v>0</v>
      </c>
      <c r="S156" s="462">
        <f t="shared" ref="S156:S157" si="401">AB156</f>
        <v>0</v>
      </c>
      <c r="T156" s="462"/>
      <c r="U156" s="462"/>
      <c r="V156" s="462"/>
      <c r="W156" s="462"/>
      <c r="X156" s="462"/>
      <c r="Y156" s="462"/>
      <c r="Z156" s="462">
        <f t="shared" ref="Z156:Z157" si="402">AB156+AA156</f>
        <v>0</v>
      </c>
      <c r="AA156" s="462"/>
      <c r="AB156" s="462"/>
      <c r="AC156" s="462"/>
      <c r="AD156" s="462">
        <f t="shared" ref="AD156:AD157" si="403">AE156+AF156</f>
        <v>0</v>
      </c>
      <c r="AE156" s="462">
        <f t="shared" ref="AE156:AE157" si="404">AG156+AH156+AI156+AJ156+AK156+AM156+AO156+AP156</f>
        <v>0</v>
      </c>
      <c r="AF156" s="462">
        <f t="shared" ref="AF156:AF157" si="405">AN156</f>
        <v>0</v>
      </c>
      <c r="AG156" s="460"/>
      <c r="AH156" s="460"/>
      <c r="AI156" s="460"/>
      <c r="AJ156" s="460"/>
      <c r="AK156" s="460"/>
      <c r="AL156" s="462">
        <f t="shared" ref="AL156:AL157" si="406">AM156+AN156</f>
        <v>0</v>
      </c>
      <c r="AM156" s="460"/>
      <c r="AN156" s="460"/>
      <c r="AO156" s="460"/>
      <c r="AP156" s="460"/>
    </row>
    <row r="157" spans="1:42" s="424" customFormat="1">
      <c r="A157" s="432" t="s">
        <v>433</v>
      </c>
      <c r="B157" s="435" t="s">
        <v>437</v>
      </c>
      <c r="C157" s="488">
        <f t="shared" si="396"/>
        <v>101662</v>
      </c>
      <c r="D157" s="488">
        <f t="shared" si="397"/>
        <v>82150</v>
      </c>
      <c r="E157" s="460">
        <f t="shared" si="296"/>
        <v>82150</v>
      </c>
      <c r="F157" s="460">
        <f>4157+77993</f>
        <v>82150</v>
      </c>
      <c r="G157" s="460"/>
      <c r="H157" s="460">
        <f t="shared" si="312"/>
        <v>19512</v>
      </c>
      <c r="I157" s="460">
        <v>19512</v>
      </c>
      <c r="J157" s="460"/>
      <c r="K157" s="489">
        <f t="shared" si="368"/>
        <v>0</v>
      </c>
      <c r="L157" s="489">
        <f t="shared" si="369"/>
        <v>0</v>
      </c>
      <c r="M157" s="460"/>
      <c r="N157" s="489">
        <f t="shared" si="370"/>
        <v>0</v>
      </c>
      <c r="O157" s="489">
        <f t="shared" si="371"/>
        <v>0</v>
      </c>
      <c r="P157" s="460"/>
      <c r="Q157" s="462">
        <f t="shared" si="399"/>
        <v>0</v>
      </c>
      <c r="R157" s="462">
        <f t="shared" si="400"/>
        <v>0</v>
      </c>
      <c r="S157" s="462">
        <f t="shared" si="401"/>
        <v>0</v>
      </c>
      <c r="T157" s="462"/>
      <c r="U157" s="462"/>
      <c r="V157" s="462"/>
      <c r="W157" s="462"/>
      <c r="X157" s="462"/>
      <c r="Y157" s="462"/>
      <c r="Z157" s="462">
        <f t="shared" si="402"/>
        <v>0</v>
      </c>
      <c r="AA157" s="462"/>
      <c r="AB157" s="462"/>
      <c r="AC157" s="462"/>
      <c r="AD157" s="462">
        <f t="shared" si="403"/>
        <v>-19512</v>
      </c>
      <c r="AE157" s="462">
        <f t="shared" si="404"/>
        <v>0</v>
      </c>
      <c r="AF157" s="462">
        <f t="shared" si="405"/>
        <v>-19512</v>
      </c>
      <c r="AG157" s="460"/>
      <c r="AH157" s="460"/>
      <c r="AI157" s="460"/>
      <c r="AJ157" s="460"/>
      <c r="AK157" s="460"/>
      <c r="AL157" s="462">
        <f t="shared" si="406"/>
        <v>-19512</v>
      </c>
      <c r="AM157" s="460"/>
      <c r="AN157" s="460">
        <v>-19512</v>
      </c>
      <c r="AO157" s="460"/>
      <c r="AP157" s="460"/>
    </row>
    <row r="158" spans="1:42">
      <c r="A158" s="431" t="s">
        <v>130</v>
      </c>
      <c r="B158" s="480" t="s">
        <v>402</v>
      </c>
      <c r="C158" s="488">
        <f t="shared" si="396"/>
        <v>161200</v>
      </c>
      <c r="D158" s="488">
        <f t="shared" si="397"/>
        <v>167946</v>
      </c>
      <c r="E158" s="462">
        <f>F158+G158</f>
        <v>161200</v>
      </c>
      <c r="F158" s="462">
        <f>SUM(F159:F163)</f>
        <v>0</v>
      </c>
      <c r="G158" s="462">
        <f>SUM(G159:G163)</f>
        <v>161200</v>
      </c>
      <c r="H158" s="462">
        <f>SUM(H159:H163)</f>
        <v>0</v>
      </c>
      <c r="I158" s="462">
        <f>SUM(I159:I163)</f>
        <v>0</v>
      </c>
      <c r="J158" s="462">
        <f>SUM(J159:J163)</f>
        <v>0</v>
      </c>
      <c r="K158" s="489">
        <f t="shared" si="368"/>
        <v>0</v>
      </c>
      <c r="L158" s="489">
        <f t="shared" si="369"/>
        <v>0</v>
      </c>
      <c r="M158" s="462">
        <f>SUM(M159:M163)</f>
        <v>0</v>
      </c>
      <c r="N158" s="489">
        <f t="shared" si="370"/>
        <v>6746</v>
      </c>
      <c r="O158" s="489">
        <f t="shared" si="371"/>
        <v>0</v>
      </c>
      <c r="P158" s="462">
        <f>SUM(P159:P163)</f>
        <v>6746</v>
      </c>
      <c r="Q158" s="462">
        <f t="shared" ref="Q158:AP158" si="407">SUM(Q159:Q163)</f>
        <v>0</v>
      </c>
      <c r="R158" s="462">
        <f t="shared" si="407"/>
        <v>0</v>
      </c>
      <c r="S158" s="462">
        <f t="shared" si="407"/>
        <v>0</v>
      </c>
      <c r="T158" s="462">
        <f t="shared" si="407"/>
        <v>0</v>
      </c>
      <c r="U158" s="462">
        <f t="shared" si="407"/>
        <v>0</v>
      </c>
      <c r="V158" s="462">
        <f t="shared" si="407"/>
        <v>0</v>
      </c>
      <c r="W158" s="462">
        <f t="shared" si="407"/>
        <v>0</v>
      </c>
      <c r="X158" s="462">
        <f t="shared" si="407"/>
        <v>0</v>
      </c>
      <c r="Y158" s="462">
        <f t="shared" si="407"/>
        <v>0</v>
      </c>
      <c r="Z158" s="462">
        <f t="shared" si="407"/>
        <v>0</v>
      </c>
      <c r="AA158" s="462">
        <f t="shared" si="407"/>
        <v>0</v>
      </c>
      <c r="AB158" s="462">
        <f t="shared" si="407"/>
        <v>0</v>
      </c>
      <c r="AC158" s="462">
        <f t="shared" si="407"/>
        <v>0</v>
      </c>
      <c r="AD158" s="462">
        <f t="shared" si="407"/>
        <v>0</v>
      </c>
      <c r="AE158" s="462">
        <f t="shared" si="407"/>
        <v>0</v>
      </c>
      <c r="AF158" s="462">
        <f t="shared" si="407"/>
        <v>0</v>
      </c>
      <c r="AG158" s="462">
        <f t="shared" si="407"/>
        <v>0</v>
      </c>
      <c r="AH158" s="462">
        <f t="shared" si="407"/>
        <v>0</v>
      </c>
      <c r="AI158" s="462">
        <f t="shared" si="407"/>
        <v>0</v>
      </c>
      <c r="AJ158" s="462">
        <f t="shared" si="407"/>
        <v>0</v>
      </c>
      <c r="AK158" s="462">
        <f t="shared" si="407"/>
        <v>0</v>
      </c>
      <c r="AL158" s="462">
        <f t="shared" si="407"/>
        <v>0</v>
      </c>
      <c r="AM158" s="462">
        <f t="shared" si="407"/>
        <v>0</v>
      </c>
      <c r="AN158" s="462">
        <f t="shared" si="407"/>
        <v>0</v>
      </c>
      <c r="AO158" s="462">
        <f t="shared" si="407"/>
        <v>0</v>
      </c>
      <c r="AP158" s="462">
        <f t="shared" si="407"/>
        <v>0</v>
      </c>
    </row>
    <row r="159" spans="1:42">
      <c r="A159" s="431" t="s">
        <v>433</v>
      </c>
      <c r="B159" s="435" t="s">
        <v>446</v>
      </c>
      <c r="C159" s="488">
        <f t="shared" si="396"/>
        <v>7799</v>
      </c>
      <c r="D159" s="488">
        <f t="shared" si="397"/>
        <v>7799</v>
      </c>
      <c r="E159" s="462">
        <f t="shared" si="296"/>
        <v>7799</v>
      </c>
      <c r="F159" s="462"/>
      <c r="G159" s="462">
        <v>7799</v>
      </c>
      <c r="H159" s="462">
        <f>I159+J159</f>
        <v>0</v>
      </c>
      <c r="I159" s="462"/>
      <c r="J159" s="462"/>
      <c r="K159" s="489">
        <f t="shared" si="368"/>
        <v>0</v>
      </c>
      <c r="L159" s="489">
        <f t="shared" si="369"/>
        <v>0</v>
      </c>
      <c r="M159" s="462"/>
      <c r="N159" s="489">
        <f t="shared" si="370"/>
        <v>0</v>
      </c>
      <c r="O159" s="489">
        <f t="shared" si="371"/>
        <v>0</v>
      </c>
      <c r="P159" s="462"/>
      <c r="Q159" s="462">
        <f t="shared" ref="Q159:Q165" si="408">R159+S159</f>
        <v>0</v>
      </c>
      <c r="R159" s="462">
        <f t="shared" ref="R159:R165" si="409">T159+U159+V159+W159+X159+Y159+AA159</f>
        <v>0</v>
      </c>
      <c r="S159" s="462">
        <f t="shared" ref="S159:S165" si="410">AB159</f>
        <v>0</v>
      </c>
      <c r="T159" s="462"/>
      <c r="U159" s="462"/>
      <c r="V159" s="462"/>
      <c r="W159" s="462"/>
      <c r="X159" s="462"/>
      <c r="Y159" s="462"/>
      <c r="Z159" s="462">
        <f t="shared" ref="Z159:Z165" si="411">AB159+AA159</f>
        <v>0</v>
      </c>
      <c r="AA159" s="462"/>
      <c r="AB159" s="462"/>
      <c r="AC159" s="462"/>
      <c r="AD159" s="462">
        <f t="shared" ref="AD159:AD165" si="412">AE159+AF159</f>
        <v>0</v>
      </c>
      <c r="AE159" s="462">
        <f t="shared" ref="AE159:AE165" si="413">AG159+AH159+AI159+AJ159+AK159+AM159+AO159+AP159</f>
        <v>0</v>
      </c>
      <c r="AF159" s="462">
        <f t="shared" ref="AF159:AF165" si="414">AN159</f>
        <v>0</v>
      </c>
      <c r="AG159" s="462"/>
      <c r="AH159" s="462"/>
      <c r="AI159" s="462"/>
      <c r="AJ159" s="462"/>
      <c r="AK159" s="462"/>
      <c r="AL159" s="462">
        <f t="shared" ref="AL159:AL165" si="415">AM159+AN159</f>
        <v>0</v>
      </c>
      <c r="AM159" s="462"/>
      <c r="AN159" s="462"/>
      <c r="AO159" s="462"/>
      <c r="AP159" s="462"/>
    </row>
    <row r="160" spans="1:42" ht="31.5">
      <c r="A160" s="431" t="s">
        <v>433</v>
      </c>
      <c r="B160" s="435" t="s">
        <v>469</v>
      </c>
      <c r="C160" s="488">
        <f t="shared" si="396"/>
        <v>67000</v>
      </c>
      <c r="D160" s="488">
        <f t="shared" si="397"/>
        <v>73746</v>
      </c>
      <c r="E160" s="460">
        <f>F160+G160</f>
        <v>67000</v>
      </c>
      <c r="F160" s="462"/>
      <c r="G160" s="462">
        <f>67000</f>
        <v>67000</v>
      </c>
      <c r="H160" s="462"/>
      <c r="I160" s="462"/>
      <c r="J160" s="462"/>
      <c r="K160" s="489">
        <f t="shared" si="368"/>
        <v>0</v>
      </c>
      <c r="L160" s="489">
        <f t="shared" si="369"/>
        <v>0</v>
      </c>
      <c r="M160" s="462"/>
      <c r="N160" s="489">
        <f t="shared" si="370"/>
        <v>6746</v>
      </c>
      <c r="O160" s="489">
        <f t="shared" si="371"/>
        <v>0</v>
      </c>
      <c r="P160" s="462">
        <f>6746-O160</f>
        <v>6746</v>
      </c>
      <c r="Q160" s="462">
        <f t="shared" si="408"/>
        <v>0</v>
      </c>
      <c r="R160" s="462">
        <f t="shared" si="409"/>
        <v>0</v>
      </c>
      <c r="S160" s="462">
        <f t="shared" si="410"/>
        <v>0</v>
      </c>
      <c r="T160" s="462"/>
      <c r="U160" s="462"/>
      <c r="V160" s="462"/>
      <c r="W160" s="462"/>
      <c r="X160" s="462"/>
      <c r="Y160" s="462"/>
      <c r="Z160" s="462">
        <f t="shared" si="411"/>
        <v>0</v>
      </c>
      <c r="AA160" s="462"/>
      <c r="AB160" s="462"/>
      <c r="AC160" s="462"/>
      <c r="AD160" s="462">
        <f t="shared" si="412"/>
        <v>0</v>
      </c>
      <c r="AE160" s="462">
        <f t="shared" si="413"/>
        <v>0</v>
      </c>
      <c r="AF160" s="462">
        <f t="shared" si="414"/>
        <v>0</v>
      </c>
      <c r="AG160" s="462"/>
      <c r="AH160" s="462"/>
      <c r="AI160" s="462"/>
      <c r="AJ160" s="462"/>
      <c r="AK160" s="462"/>
      <c r="AL160" s="462">
        <f t="shared" si="415"/>
        <v>0</v>
      </c>
      <c r="AM160" s="462"/>
      <c r="AN160" s="462"/>
      <c r="AO160" s="462"/>
      <c r="AP160" s="462"/>
    </row>
    <row r="161" spans="1:42">
      <c r="A161" s="431" t="s">
        <v>433</v>
      </c>
      <c r="B161" s="435" t="s">
        <v>465</v>
      </c>
      <c r="C161" s="488">
        <f t="shared" si="396"/>
        <v>21870</v>
      </c>
      <c r="D161" s="488">
        <f t="shared" si="397"/>
        <v>21870</v>
      </c>
      <c r="E161" s="460">
        <f>F161+G161</f>
        <v>21870</v>
      </c>
      <c r="F161" s="462"/>
      <c r="G161" s="462">
        <v>21870</v>
      </c>
      <c r="H161" s="462"/>
      <c r="I161" s="462"/>
      <c r="J161" s="462"/>
      <c r="K161" s="489">
        <f t="shared" si="368"/>
        <v>0</v>
      </c>
      <c r="L161" s="489">
        <f t="shared" si="369"/>
        <v>0</v>
      </c>
      <c r="M161" s="462"/>
      <c r="N161" s="489">
        <f t="shared" si="370"/>
        <v>0</v>
      </c>
      <c r="O161" s="489">
        <f t="shared" si="371"/>
        <v>0</v>
      </c>
      <c r="P161" s="462"/>
      <c r="Q161" s="462">
        <f t="shared" si="408"/>
        <v>0</v>
      </c>
      <c r="R161" s="462">
        <f t="shared" si="409"/>
        <v>0</v>
      </c>
      <c r="S161" s="462">
        <f t="shared" si="410"/>
        <v>0</v>
      </c>
      <c r="T161" s="462"/>
      <c r="U161" s="462"/>
      <c r="V161" s="462"/>
      <c r="W161" s="462"/>
      <c r="X161" s="462"/>
      <c r="Y161" s="462"/>
      <c r="Z161" s="462">
        <f t="shared" si="411"/>
        <v>0</v>
      </c>
      <c r="AA161" s="462"/>
      <c r="AB161" s="462"/>
      <c r="AC161" s="462"/>
      <c r="AD161" s="462">
        <f t="shared" si="412"/>
        <v>0</v>
      </c>
      <c r="AE161" s="462">
        <f t="shared" si="413"/>
        <v>0</v>
      </c>
      <c r="AF161" s="462">
        <f t="shared" si="414"/>
        <v>0</v>
      </c>
      <c r="AG161" s="462"/>
      <c r="AH161" s="462"/>
      <c r="AI161" s="462"/>
      <c r="AJ161" s="462"/>
      <c r="AK161" s="462"/>
      <c r="AL161" s="462">
        <f t="shared" si="415"/>
        <v>0</v>
      </c>
      <c r="AM161" s="462"/>
      <c r="AN161" s="462"/>
      <c r="AO161" s="462"/>
      <c r="AP161" s="462"/>
    </row>
    <row r="162" spans="1:42" ht="31.5">
      <c r="A162" s="431" t="s">
        <v>433</v>
      </c>
      <c r="B162" s="435" t="s">
        <v>458</v>
      </c>
      <c r="C162" s="488">
        <f t="shared" si="396"/>
        <v>0</v>
      </c>
      <c r="D162" s="488">
        <f t="shared" si="397"/>
        <v>0</v>
      </c>
      <c r="E162" s="460"/>
      <c r="F162" s="462"/>
      <c r="G162" s="462">
        <v>9000</v>
      </c>
      <c r="H162" s="462"/>
      <c r="I162" s="462"/>
      <c r="J162" s="462"/>
      <c r="K162" s="489">
        <f t="shared" si="368"/>
        <v>0</v>
      </c>
      <c r="L162" s="489">
        <f t="shared" si="369"/>
        <v>0</v>
      </c>
      <c r="M162" s="462"/>
      <c r="N162" s="489">
        <f t="shared" si="370"/>
        <v>0</v>
      </c>
      <c r="O162" s="489">
        <f t="shared" si="371"/>
        <v>0</v>
      </c>
      <c r="P162" s="462"/>
      <c r="Q162" s="462">
        <f t="shared" si="408"/>
        <v>0</v>
      </c>
      <c r="R162" s="462">
        <f t="shared" si="409"/>
        <v>0</v>
      </c>
      <c r="S162" s="462">
        <f t="shared" si="410"/>
        <v>0</v>
      </c>
      <c r="T162" s="462"/>
      <c r="U162" s="462"/>
      <c r="V162" s="462"/>
      <c r="W162" s="462"/>
      <c r="X162" s="462"/>
      <c r="Y162" s="462"/>
      <c r="Z162" s="462">
        <f t="shared" si="411"/>
        <v>0</v>
      </c>
      <c r="AA162" s="462"/>
      <c r="AB162" s="462"/>
      <c r="AC162" s="462"/>
      <c r="AD162" s="462">
        <f t="shared" si="412"/>
        <v>0</v>
      </c>
      <c r="AE162" s="462">
        <f t="shared" si="413"/>
        <v>0</v>
      </c>
      <c r="AF162" s="462">
        <f t="shared" si="414"/>
        <v>0</v>
      </c>
      <c r="AG162" s="462"/>
      <c r="AH162" s="462"/>
      <c r="AI162" s="462"/>
      <c r="AJ162" s="462"/>
      <c r="AK162" s="462"/>
      <c r="AL162" s="462">
        <f t="shared" si="415"/>
        <v>0</v>
      </c>
      <c r="AM162" s="462"/>
      <c r="AN162" s="462"/>
      <c r="AO162" s="462"/>
      <c r="AP162" s="462"/>
    </row>
    <row r="163" spans="1:42" s="424" customFormat="1">
      <c r="A163" s="432" t="s">
        <v>433</v>
      </c>
      <c r="B163" s="435" t="s">
        <v>402</v>
      </c>
      <c r="C163" s="488">
        <f t="shared" si="396"/>
        <v>55531</v>
      </c>
      <c r="D163" s="488">
        <f t="shared" si="397"/>
        <v>55531</v>
      </c>
      <c r="E163" s="460">
        <f t="shared" si="296"/>
        <v>55531</v>
      </c>
      <c r="F163" s="460"/>
      <c r="G163" s="460">
        <f>67000-5184-9+5719-1900+8000-30-8000-1979-17-5-31174-1070-4747+29300+198-171-400</f>
        <v>55531</v>
      </c>
      <c r="H163" s="462">
        <f>I163+J163</f>
        <v>0</v>
      </c>
      <c r="I163" s="460"/>
      <c r="J163" s="460"/>
      <c r="K163" s="489">
        <f t="shared" si="368"/>
        <v>0</v>
      </c>
      <c r="L163" s="489">
        <f t="shared" si="369"/>
        <v>0</v>
      </c>
      <c r="M163" s="460"/>
      <c r="N163" s="489">
        <f t="shared" si="370"/>
        <v>0</v>
      </c>
      <c r="O163" s="489">
        <f t="shared" si="371"/>
        <v>0</v>
      </c>
      <c r="P163" s="460"/>
      <c r="Q163" s="462">
        <f t="shared" si="408"/>
        <v>0</v>
      </c>
      <c r="R163" s="462">
        <f t="shared" si="409"/>
        <v>0</v>
      </c>
      <c r="S163" s="462">
        <f t="shared" si="410"/>
        <v>0</v>
      </c>
      <c r="T163" s="462"/>
      <c r="U163" s="462"/>
      <c r="V163" s="462"/>
      <c r="W163" s="462"/>
      <c r="X163" s="462"/>
      <c r="Y163" s="462"/>
      <c r="Z163" s="462">
        <f t="shared" si="411"/>
        <v>0</v>
      </c>
      <c r="AA163" s="462"/>
      <c r="AB163" s="462"/>
      <c r="AC163" s="462"/>
      <c r="AD163" s="462">
        <f t="shared" si="412"/>
        <v>0</v>
      </c>
      <c r="AE163" s="462">
        <f t="shared" si="413"/>
        <v>0</v>
      </c>
      <c r="AF163" s="462">
        <f t="shared" si="414"/>
        <v>0</v>
      </c>
      <c r="AG163" s="460"/>
      <c r="AH163" s="460"/>
      <c r="AI163" s="460"/>
      <c r="AJ163" s="460"/>
      <c r="AK163" s="460"/>
      <c r="AL163" s="462">
        <f t="shared" si="415"/>
        <v>0</v>
      </c>
      <c r="AM163" s="460"/>
      <c r="AN163" s="460"/>
      <c r="AO163" s="460"/>
      <c r="AP163" s="460"/>
    </row>
    <row r="164" spans="1:42" s="424" customFormat="1">
      <c r="A164" s="432"/>
      <c r="B164" s="435" t="s">
        <v>459</v>
      </c>
      <c r="C164" s="488">
        <f t="shared" si="396"/>
        <v>5553.1</v>
      </c>
      <c r="D164" s="488">
        <f t="shared" si="397"/>
        <v>5553.1</v>
      </c>
      <c r="E164" s="460">
        <f t="shared" si="296"/>
        <v>5553.1</v>
      </c>
      <c r="F164" s="460"/>
      <c r="G164" s="460">
        <f>G163*10%</f>
        <v>5553.1</v>
      </c>
      <c r="H164" s="460">
        <f t="shared" si="312"/>
        <v>0</v>
      </c>
      <c r="I164" s="460"/>
      <c r="J164" s="460"/>
      <c r="K164" s="489">
        <f t="shared" si="368"/>
        <v>0</v>
      </c>
      <c r="L164" s="489">
        <f t="shared" si="369"/>
        <v>0</v>
      </c>
      <c r="M164" s="460"/>
      <c r="N164" s="489">
        <f t="shared" si="370"/>
        <v>0</v>
      </c>
      <c r="O164" s="489">
        <f t="shared" si="371"/>
        <v>0</v>
      </c>
      <c r="P164" s="460"/>
      <c r="Q164" s="462">
        <f t="shared" si="408"/>
        <v>0</v>
      </c>
      <c r="R164" s="462">
        <f t="shared" si="409"/>
        <v>0</v>
      </c>
      <c r="S164" s="462">
        <f t="shared" si="410"/>
        <v>0</v>
      </c>
      <c r="T164" s="462"/>
      <c r="U164" s="462"/>
      <c r="V164" s="462"/>
      <c r="W164" s="462"/>
      <c r="X164" s="462"/>
      <c r="Y164" s="462"/>
      <c r="Z164" s="462">
        <f t="shared" si="411"/>
        <v>0</v>
      </c>
      <c r="AA164" s="462"/>
      <c r="AB164" s="462"/>
      <c r="AC164" s="462"/>
      <c r="AD164" s="462">
        <f t="shared" si="412"/>
        <v>0</v>
      </c>
      <c r="AE164" s="462">
        <f t="shared" si="413"/>
        <v>0</v>
      </c>
      <c r="AF164" s="462">
        <f t="shared" si="414"/>
        <v>0</v>
      </c>
      <c r="AG164" s="460"/>
      <c r="AH164" s="460"/>
      <c r="AI164" s="460"/>
      <c r="AJ164" s="460"/>
      <c r="AK164" s="460"/>
      <c r="AL164" s="462">
        <f t="shared" si="415"/>
        <v>0</v>
      </c>
      <c r="AM164" s="460"/>
      <c r="AN164" s="460"/>
      <c r="AO164" s="460"/>
      <c r="AP164" s="460"/>
    </row>
    <row r="165" spans="1:42" s="434" customFormat="1">
      <c r="A165" s="561">
        <v>13</v>
      </c>
      <c r="B165" s="433" t="s">
        <v>396</v>
      </c>
      <c r="C165" s="489"/>
      <c r="D165" s="488">
        <f t="shared" ref="D165" si="416">E165+H165+M165+P165+Q165+AD165</f>
        <v>0</v>
      </c>
      <c r="E165" s="495">
        <f t="shared" si="296"/>
        <v>0</v>
      </c>
      <c r="F165" s="495"/>
      <c r="G165" s="495"/>
      <c r="H165" s="495">
        <f>I165+J165</f>
        <v>0</v>
      </c>
      <c r="I165" s="495"/>
      <c r="J165" s="495"/>
      <c r="K165" s="489">
        <f t="shared" si="368"/>
        <v>0</v>
      </c>
      <c r="L165" s="489">
        <f t="shared" si="369"/>
        <v>0</v>
      </c>
      <c r="M165" s="495"/>
      <c r="N165" s="489">
        <f t="shared" si="370"/>
        <v>0</v>
      </c>
      <c r="O165" s="489">
        <f t="shared" si="371"/>
        <v>0</v>
      </c>
      <c r="P165" s="495"/>
      <c r="Q165" s="462">
        <f t="shared" si="408"/>
        <v>0</v>
      </c>
      <c r="R165" s="462">
        <f t="shared" si="409"/>
        <v>0</v>
      </c>
      <c r="S165" s="462">
        <f t="shared" si="410"/>
        <v>0</v>
      </c>
      <c r="T165" s="462"/>
      <c r="U165" s="462"/>
      <c r="V165" s="462"/>
      <c r="W165" s="462"/>
      <c r="X165" s="462"/>
      <c r="Y165" s="462"/>
      <c r="Z165" s="462">
        <f t="shared" si="411"/>
        <v>0</v>
      </c>
      <c r="AA165" s="462"/>
      <c r="AB165" s="462"/>
      <c r="AC165" s="462"/>
      <c r="AD165" s="462">
        <f t="shared" si="412"/>
        <v>0</v>
      </c>
      <c r="AE165" s="462">
        <f t="shared" si="413"/>
        <v>0</v>
      </c>
      <c r="AF165" s="462">
        <f t="shared" si="414"/>
        <v>0</v>
      </c>
      <c r="AG165" s="495"/>
      <c r="AH165" s="495"/>
      <c r="AI165" s="495"/>
      <c r="AJ165" s="495"/>
      <c r="AK165" s="495"/>
      <c r="AL165" s="462">
        <f t="shared" si="415"/>
        <v>0</v>
      </c>
      <c r="AM165" s="495"/>
      <c r="AN165" s="495"/>
      <c r="AO165" s="495"/>
      <c r="AP165" s="495"/>
    </row>
    <row r="166" spans="1:42" s="434" customFormat="1">
      <c r="A166" s="561">
        <v>14</v>
      </c>
      <c r="B166" s="433" t="s">
        <v>397</v>
      </c>
      <c r="C166" s="489">
        <f>C167+C170</f>
        <v>63456</v>
      </c>
      <c r="D166" s="489">
        <f>D167+D170</f>
        <v>63456</v>
      </c>
      <c r="E166" s="495">
        <f t="shared" si="296"/>
        <v>40222</v>
      </c>
      <c r="F166" s="495">
        <f>F167+F170</f>
        <v>15765</v>
      </c>
      <c r="G166" s="495">
        <f>G167+G170</f>
        <v>24457</v>
      </c>
      <c r="H166" s="495">
        <f t="shared" si="312"/>
        <v>23234</v>
      </c>
      <c r="I166" s="495">
        <f>I167+I170</f>
        <v>23234</v>
      </c>
      <c r="J166" s="495">
        <f>J167+J170</f>
        <v>0</v>
      </c>
      <c r="K166" s="489">
        <f t="shared" si="368"/>
        <v>0</v>
      </c>
      <c r="L166" s="489">
        <f t="shared" si="369"/>
        <v>0</v>
      </c>
      <c r="M166" s="495">
        <f>M167+M170</f>
        <v>0</v>
      </c>
      <c r="N166" s="489">
        <f t="shared" si="370"/>
        <v>0</v>
      </c>
      <c r="O166" s="489">
        <f t="shared" si="371"/>
        <v>0</v>
      </c>
      <c r="P166" s="495">
        <f>P167+P170</f>
        <v>0</v>
      </c>
      <c r="Q166" s="495">
        <f t="shared" ref="Q166:AP166" si="417">Q167+Q170</f>
        <v>0</v>
      </c>
      <c r="R166" s="495">
        <f t="shared" si="417"/>
        <v>0</v>
      </c>
      <c r="S166" s="495">
        <f t="shared" si="417"/>
        <v>0</v>
      </c>
      <c r="T166" s="495">
        <f t="shared" si="417"/>
        <v>0</v>
      </c>
      <c r="U166" s="495">
        <f t="shared" si="417"/>
        <v>0</v>
      </c>
      <c r="V166" s="495">
        <f t="shared" si="417"/>
        <v>0</v>
      </c>
      <c r="W166" s="495">
        <f t="shared" si="417"/>
        <v>0</v>
      </c>
      <c r="X166" s="495">
        <f t="shared" si="417"/>
        <v>0</v>
      </c>
      <c r="Y166" s="495">
        <f t="shared" si="417"/>
        <v>0</v>
      </c>
      <c r="Z166" s="495">
        <f t="shared" si="417"/>
        <v>0</v>
      </c>
      <c r="AA166" s="495">
        <f t="shared" si="417"/>
        <v>0</v>
      </c>
      <c r="AB166" s="495">
        <f t="shared" si="417"/>
        <v>0</v>
      </c>
      <c r="AC166" s="495">
        <f t="shared" si="417"/>
        <v>0</v>
      </c>
      <c r="AD166" s="495">
        <f t="shared" si="417"/>
        <v>0</v>
      </c>
      <c r="AE166" s="495">
        <f t="shared" si="417"/>
        <v>0</v>
      </c>
      <c r="AF166" s="495">
        <f t="shared" si="417"/>
        <v>0</v>
      </c>
      <c r="AG166" s="495">
        <f t="shared" si="417"/>
        <v>0</v>
      </c>
      <c r="AH166" s="495">
        <f t="shared" si="417"/>
        <v>0</v>
      </c>
      <c r="AI166" s="495">
        <f t="shared" si="417"/>
        <v>0</v>
      </c>
      <c r="AJ166" s="495">
        <f t="shared" si="417"/>
        <v>0</v>
      </c>
      <c r="AK166" s="495">
        <f t="shared" si="417"/>
        <v>0</v>
      </c>
      <c r="AL166" s="495">
        <f t="shared" si="417"/>
        <v>0</v>
      </c>
      <c r="AM166" s="495">
        <f t="shared" si="417"/>
        <v>0</v>
      </c>
      <c r="AN166" s="495">
        <f t="shared" si="417"/>
        <v>0</v>
      </c>
      <c r="AO166" s="495">
        <f t="shared" si="417"/>
        <v>0</v>
      </c>
      <c r="AP166" s="495">
        <f t="shared" si="417"/>
        <v>0</v>
      </c>
    </row>
    <row r="167" spans="1:42">
      <c r="A167" s="431" t="s">
        <v>453</v>
      </c>
      <c r="B167" s="435" t="s">
        <v>401</v>
      </c>
      <c r="C167" s="488">
        <f>E167+H167</f>
        <v>38999</v>
      </c>
      <c r="D167" s="488">
        <f t="shared" ref="D167:D173" si="418">E167+H167+M167+P167+Q167+AD167</f>
        <v>38999</v>
      </c>
      <c r="E167" s="462">
        <f t="shared" si="296"/>
        <v>15765</v>
      </c>
      <c r="F167" s="462">
        <f>F168+F169</f>
        <v>15765</v>
      </c>
      <c r="G167" s="462">
        <f>G168+G169</f>
        <v>0</v>
      </c>
      <c r="H167" s="462">
        <f t="shared" si="312"/>
        <v>23234</v>
      </c>
      <c r="I167" s="462">
        <f>I168+I169</f>
        <v>23234</v>
      </c>
      <c r="J167" s="462">
        <f>J168+J169</f>
        <v>0</v>
      </c>
      <c r="K167" s="489">
        <f t="shared" si="368"/>
        <v>0</v>
      </c>
      <c r="L167" s="489">
        <f t="shared" si="369"/>
        <v>0</v>
      </c>
      <c r="M167" s="462">
        <f>M168+M169</f>
        <v>0</v>
      </c>
      <c r="N167" s="489">
        <f t="shared" si="370"/>
        <v>0</v>
      </c>
      <c r="O167" s="489">
        <f t="shared" si="371"/>
        <v>0</v>
      </c>
      <c r="P167" s="462">
        <f>P168+P169</f>
        <v>0</v>
      </c>
      <c r="Q167" s="462">
        <f t="shared" ref="Q167:AP167" si="419">Q168+Q169</f>
        <v>0</v>
      </c>
      <c r="R167" s="462">
        <f t="shared" si="419"/>
        <v>0</v>
      </c>
      <c r="S167" s="462">
        <f t="shared" si="419"/>
        <v>0</v>
      </c>
      <c r="T167" s="462">
        <f t="shared" si="419"/>
        <v>0</v>
      </c>
      <c r="U167" s="462">
        <f t="shared" si="419"/>
        <v>0</v>
      </c>
      <c r="V167" s="462">
        <f t="shared" si="419"/>
        <v>0</v>
      </c>
      <c r="W167" s="462">
        <f t="shared" si="419"/>
        <v>0</v>
      </c>
      <c r="X167" s="462">
        <f t="shared" si="419"/>
        <v>0</v>
      </c>
      <c r="Y167" s="462">
        <f t="shared" si="419"/>
        <v>0</v>
      </c>
      <c r="Z167" s="462">
        <f t="shared" si="419"/>
        <v>0</v>
      </c>
      <c r="AA167" s="462">
        <f t="shared" si="419"/>
        <v>0</v>
      </c>
      <c r="AB167" s="462">
        <f t="shared" si="419"/>
        <v>0</v>
      </c>
      <c r="AC167" s="462">
        <f t="shared" si="419"/>
        <v>0</v>
      </c>
      <c r="AD167" s="462">
        <f t="shared" si="419"/>
        <v>0</v>
      </c>
      <c r="AE167" s="462">
        <f t="shared" si="419"/>
        <v>0</v>
      </c>
      <c r="AF167" s="462">
        <f t="shared" si="419"/>
        <v>0</v>
      </c>
      <c r="AG167" s="462">
        <f t="shared" si="419"/>
        <v>0</v>
      </c>
      <c r="AH167" s="462">
        <f t="shared" si="419"/>
        <v>0</v>
      </c>
      <c r="AI167" s="462">
        <f t="shared" si="419"/>
        <v>0</v>
      </c>
      <c r="AJ167" s="462">
        <f t="shared" si="419"/>
        <v>0</v>
      </c>
      <c r="AK167" s="462">
        <f t="shared" si="419"/>
        <v>0</v>
      </c>
      <c r="AL167" s="462">
        <f t="shared" si="419"/>
        <v>0</v>
      </c>
      <c r="AM167" s="462">
        <f t="shared" si="419"/>
        <v>0</v>
      </c>
      <c r="AN167" s="462">
        <f t="shared" si="419"/>
        <v>0</v>
      </c>
      <c r="AO167" s="462">
        <f t="shared" si="419"/>
        <v>0</v>
      </c>
      <c r="AP167" s="462">
        <f t="shared" si="419"/>
        <v>0</v>
      </c>
    </row>
    <row r="168" spans="1:42">
      <c r="A168" s="431" t="s">
        <v>433</v>
      </c>
      <c r="B168" s="435" t="s">
        <v>37</v>
      </c>
      <c r="C168" s="488">
        <f>E168+H168</f>
        <v>32649</v>
      </c>
      <c r="D168" s="488">
        <f t="shared" si="418"/>
        <v>32649</v>
      </c>
      <c r="E168" s="460">
        <f t="shared" si="296"/>
        <v>9415</v>
      </c>
      <c r="F168" s="460">
        <v>9415</v>
      </c>
      <c r="G168" s="460"/>
      <c r="H168" s="460">
        <f t="shared" si="312"/>
        <v>23234</v>
      </c>
      <c r="I168" s="460">
        <v>23234</v>
      </c>
      <c r="J168" s="460"/>
      <c r="K168" s="489">
        <f t="shared" si="368"/>
        <v>0</v>
      </c>
      <c r="L168" s="489">
        <f t="shared" si="369"/>
        <v>0</v>
      </c>
      <c r="M168" s="460"/>
      <c r="N168" s="489">
        <f t="shared" si="370"/>
        <v>0</v>
      </c>
      <c r="O168" s="489">
        <f t="shared" si="371"/>
        <v>0</v>
      </c>
      <c r="P168" s="460"/>
      <c r="Q168" s="462">
        <f t="shared" ref="Q168:Q169" si="420">R168+S168</f>
        <v>0</v>
      </c>
      <c r="R168" s="462">
        <f t="shared" ref="R168:R169" si="421">T168+U168+V168+W168+X168+Y168+AA168</f>
        <v>0</v>
      </c>
      <c r="S168" s="462">
        <f t="shared" ref="S168:S169" si="422">AB168</f>
        <v>0</v>
      </c>
      <c r="T168" s="462"/>
      <c r="U168" s="462"/>
      <c r="V168" s="462"/>
      <c r="W168" s="462"/>
      <c r="X168" s="462"/>
      <c r="Y168" s="462"/>
      <c r="Z168" s="462">
        <f t="shared" ref="Z168:Z169" si="423">AB168+AA168</f>
        <v>0</v>
      </c>
      <c r="AA168" s="462"/>
      <c r="AB168" s="462"/>
      <c r="AC168" s="462"/>
      <c r="AD168" s="462">
        <f t="shared" ref="AD168:AD169" si="424">AE168+AF168</f>
        <v>0</v>
      </c>
      <c r="AE168" s="462">
        <f t="shared" ref="AE168:AE169" si="425">AG168+AH168+AI168+AJ168+AK168+AM168+AO168+AP168</f>
        <v>0</v>
      </c>
      <c r="AF168" s="462">
        <f t="shared" ref="AF168:AF169" si="426">AN168</f>
        <v>0</v>
      </c>
      <c r="AG168" s="460"/>
      <c r="AH168" s="460"/>
      <c r="AI168" s="460"/>
      <c r="AJ168" s="460"/>
      <c r="AK168" s="460"/>
      <c r="AL168" s="462">
        <f t="shared" ref="AL168:AL169" si="427">AM168+AN168</f>
        <v>0</v>
      </c>
      <c r="AM168" s="460"/>
      <c r="AN168" s="460"/>
      <c r="AO168" s="460"/>
      <c r="AP168" s="460"/>
    </row>
    <row r="169" spans="1:42">
      <c r="A169" s="431" t="s">
        <v>433</v>
      </c>
      <c r="B169" s="435" t="s">
        <v>437</v>
      </c>
      <c r="C169" s="488">
        <f t="shared" ref="C169:C172" si="428">E169+H169</f>
        <v>6350</v>
      </c>
      <c r="D169" s="488">
        <f t="shared" si="418"/>
        <v>6350</v>
      </c>
      <c r="E169" s="460">
        <f t="shared" si="296"/>
        <v>6350</v>
      </c>
      <c r="F169" s="460">
        <v>6350</v>
      </c>
      <c r="G169" s="460"/>
      <c r="H169" s="460">
        <f t="shared" si="312"/>
        <v>0</v>
      </c>
      <c r="I169" s="460"/>
      <c r="J169" s="460"/>
      <c r="K169" s="489">
        <f t="shared" si="368"/>
        <v>0</v>
      </c>
      <c r="L169" s="489">
        <f t="shared" si="369"/>
        <v>0</v>
      </c>
      <c r="M169" s="460"/>
      <c r="N169" s="489">
        <f t="shared" si="370"/>
        <v>0</v>
      </c>
      <c r="O169" s="489">
        <f t="shared" si="371"/>
        <v>0</v>
      </c>
      <c r="P169" s="460"/>
      <c r="Q169" s="462">
        <f t="shared" si="420"/>
        <v>0</v>
      </c>
      <c r="R169" s="462">
        <f t="shared" si="421"/>
        <v>0</v>
      </c>
      <c r="S169" s="462">
        <f t="shared" si="422"/>
        <v>0</v>
      </c>
      <c r="T169" s="462"/>
      <c r="U169" s="462"/>
      <c r="V169" s="462"/>
      <c r="W169" s="462"/>
      <c r="X169" s="462"/>
      <c r="Y169" s="462"/>
      <c r="Z169" s="462">
        <f t="shared" si="423"/>
        <v>0</v>
      </c>
      <c r="AA169" s="462"/>
      <c r="AB169" s="462"/>
      <c r="AC169" s="462"/>
      <c r="AD169" s="462">
        <f t="shared" si="424"/>
        <v>0</v>
      </c>
      <c r="AE169" s="462">
        <f t="shared" si="425"/>
        <v>0</v>
      </c>
      <c r="AF169" s="462">
        <f t="shared" si="426"/>
        <v>0</v>
      </c>
      <c r="AG169" s="460"/>
      <c r="AH169" s="460"/>
      <c r="AI169" s="460"/>
      <c r="AJ169" s="460"/>
      <c r="AK169" s="460"/>
      <c r="AL169" s="462">
        <f t="shared" si="427"/>
        <v>0</v>
      </c>
      <c r="AM169" s="460"/>
      <c r="AN169" s="460"/>
      <c r="AO169" s="460"/>
      <c r="AP169" s="460"/>
    </row>
    <row r="170" spans="1:42">
      <c r="A170" s="431" t="s">
        <v>454</v>
      </c>
      <c r="B170" s="480" t="s">
        <v>402</v>
      </c>
      <c r="C170" s="488">
        <f t="shared" si="428"/>
        <v>24457</v>
      </c>
      <c r="D170" s="488">
        <f t="shared" si="418"/>
        <v>24457</v>
      </c>
      <c r="E170" s="460">
        <f>F170+G170</f>
        <v>24457</v>
      </c>
      <c r="F170" s="460">
        <f>SUM(F171:F172)</f>
        <v>0</v>
      </c>
      <c r="G170" s="460">
        <f>SUM(G171:G172)</f>
        <v>24457</v>
      </c>
      <c r="H170" s="460">
        <f t="shared" si="312"/>
        <v>0</v>
      </c>
      <c r="I170" s="460">
        <f>SUM(I171:I172)</f>
        <v>0</v>
      </c>
      <c r="J170" s="460">
        <f>SUM(J171:J172)</f>
        <v>0</v>
      </c>
      <c r="K170" s="489">
        <f t="shared" si="368"/>
        <v>0</v>
      </c>
      <c r="L170" s="489">
        <f t="shared" si="369"/>
        <v>0</v>
      </c>
      <c r="M170" s="460">
        <f>SUM(M171:M172)</f>
        <v>0</v>
      </c>
      <c r="N170" s="489">
        <f t="shared" si="370"/>
        <v>0</v>
      </c>
      <c r="O170" s="489">
        <f t="shared" si="371"/>
        <v>0</v>
      </c>
      <c r="P170" s="460">
        <f>SUM(P171:P172)</f>
        <v>0</v>
      </c>
      <c r="Q170" s="460">
        <f t="shared" ref="Q170:AP170" si="429">SUM(Q171:Q172)</f>
        <v>0</v>
      </c>
      <c r="R170" s="460">
        <f t="shared" si="429"/>
        <v>0</v>
      </c>
      <c r="S170" s="460">
        <f t="shared" si="429"/>
        <v>0</v>
      </c>
      <c r="T170" s="460">
        <f t="shared" si="429"/>
        <v>0</v>
      </c>
      <c r="U170" s="460">
        <f t="shared" si="429"/>
        <v>0</v>
      </c>
      <c r="V170" s="460">
        <f t="shared" si="429"/>
        <v>0</v>
      </c>
      <c r="W170" s="460">
        <f t="shared" si="429"/>
        <v>0</v>
      </c>
      <c r="X170" s="460">
        <f t="shared" si="429"/>
        <v>0</v>
      </c>
      <c r="Y170" s="460">
        <f t="shared" si="429"/>
        <v>0</v>
      </c>
      <c r="Z170" s="460">
        <f t="shared" si="429"/>
        <v>0</v>
      </c>
      <c r="AA170" s="460">
        <f t="shared" si="429"/>
        <v>0</v>
      </c>
      <c r="AB170" s="460">
        <f t="shared" si="429"/>
        <v>0</v>
      </c>
      <c r="AC170" s="460">
        <f t="shared" si="429"/>
        <v>0</v>
      </c>
      <c r="AD170" s="460">
        <f t="shared" si="429"/>
        <v>0</v>
      </c>
      <c r="AE170" s="460">
        <f t="shared" si="429"/>
        <v>0</v>
      </c>
      <c r="AF170" s="460">
        <f t="shared" si="429"/>
        <v>0</v>
      </c>
      <c r="AG170" s="460">
        <f t="shared" si="429"/>
        <v>0</v>
      </c>
      <c r="AH170" s="460">
        <f t="shared" si="429"/>
        <v>0</v>
      </c>
      <c r="AI170" s="460">
        <f t="shared" si="429"/>
        <v>0</v>
      </c>
      <c r="AJ170" s="460">
        <f t="shared" si="429"/>
        <v>0</v>
      </c>
      <c r="AK170" s="460">
        <f t="shared" si="429"/>
        <v>0</v>
      </c>
      <c r="AL170" s="460">
        <f t="shared" si="429"/>
        <v>0</v>
      </c>
      <c r="AM170" s="460">
        <f t="shared" si="429"/>
        <v>0</v>
      </c>
      <c r="AN170" s="460">
        <f t="shared" si="429"/>
        <v>0</v>
      </c>
      <c r="AO170" s="460">
        <f t="shared" si="429"/>
        <v>0</v>
      </c>
      <c r="AP170" s="460">
        <f t="shared" si="429"/>
        <v>0</v>
      </c>
    </row>
    <row r="171" spans="1:42">
      <c r="A171" s="431" t="s">
        <v>433</v>
      </c>
      <c r="B171" s="435" t="s">
        <v>446</v>
      </c>
      <c r="C171" s="488">
        <f t="shared" si="428"/>
        <v>822</v>
      </c>
      <c r="D171" s="488">
        <f t="shared" si="418"/>
        <v>822</v>
      </c>
      <c r="E171" s="460">
        <f>F171+G171</f>
        <v>822</v>
      </c>
      <c r="F171" s="460"/>
      <c r="G171" s="460">
        <v>822</v>
      </c>
      <c r="H171" s="460">
        <f t="shared" si="312"/>
        <v>0</v>
      </c>
      <c r="I171" s="460"/>
      <c r="J171" s="460"/>
      <c r="K171" s="489">
        <f t="shared" si="368"/>
        <v>0</v>
      </c>
      <c r="L171" s="489">
        <f t="shared" si="369"/>
        <v>0</v>
      </c>
      <c r="M171" s="460"/>
      <c r="N171" s="489">
        <f t="shared" si="370"/>
        <v>0</v>
      </c>
      <c r="O171" s="489">
        <f t="shared" si="371"/>
        <v>0</v>
      </c>
      <c r="P171" s="460"/>
      <c r="Q171" s="462">
        <f t="shared" ref="Q171:Q174" si="430">R171+S171</f>
        <v>0</v>
      </c>
      <c r="R171" s="462">
        <f t="shared" ref="R171:R174" si="431">T171+U171+V171+W171+X171+Y171+AA171</f>
        <v>0</v>
      </c>
      <c r="S171" s="462">
        <f t="shared" ref="S171:S174" si="432">AB171</f>
        <v>0</v>
      </c>
      <c r="T171" s="462"/>
      <c r="U171" s="462"/>
      <c r="V171" s="462"/>
      <c r="W171" s="462"/>
      <c r="X171" s="462"/>
      <c r="Y171" s="462"/>
      <c r="Z171" s="462">
        <f t="shared" ref="Z171:Z173" si="433">AB171+AA171</f>
        <v>0</v>
      </c>
      <c r="AA171" s="462"/>
      <c r="AB171" s="462"/>
      <c r="AC171" s="462"/>
      <c r="AD171" s="462">
        <f t="shared" ref="AD171:AD174" si="434">AE171+AF171</f>
        <v>0</v>
      </c>
      <c r="AE171" s="462">
        <f t="shared" ref="AE171:AE174" si="435">AG171+AH171+AI171+AJ171+AK171+AM171+AO171+AP171</f>
        <v>0</v>
      </c>
      <c r="AF171" s="462">
        <f t="shared" ref="AF171:AF174" si="436">AN171</f>
        <v>0</v>
      </c>
      <c r="AG171" s="460"/>
      <c r="AH171" s="460"/>
      <c r="AI171" s="460"/>
      <c r="AJ171" s="460"/>
      <c r="AK171" s="460"/>
      <c r="AL171" s="462">
        <f t="shared" ref="AL171:AL174" si="437">AM171+AN171</f>
        <v>0</v>
      </c>
      <c r="AM171" s="460"/>
      <c r="AN171" s="460"/>
      <c r="AO171" s="460"/>
      <c r="AP171" s="460"/>
    </row>
    <row r="172" spans="1:42">
      <c r="A172" s="431" t="s">
        <v>433</v>
      </c>
      <c r="B172" s="435" t="s">
        <v>402</v>
      </c>
      <c r="C172" s="488">
        <f t="shared" si="428"/>
        <v>23635</v>
      </c>
      <c r="D172" s="488">
        <f t="shared" si="418"/>
        <v>23635</v>
      </c>
      <c r="E172" s="460">
        <f t="shared" si="296"/>
        <v>23635</v>
      </c>
      <c r="F172" s="460"/>
      <c r="G172" s="460">
        <f>22269-31+940-9-1-148-25+631+9</f>
        <v>23635</v>
      </c>
      <c r="H172" s="460">
        <f t="shared" si="312"/>
        <v>0</v>
      </c>
      <c r="I172" s="460"/>
      <c r="J172" s="460"/>
      <c r="K172" s="489">
        <f t="shared" si="368"/>
        <v>0</v>
      </c>
      <c r="L172" s="489">
        <f t="shared" si="369"/>
        <v>0</v>
      </c>
      <c r="M172" s="460"/>
      <c r="N172" s="489">
        <f t="shared" si="370"/>
        <v>0</v>
      </c>
      <c r="O172" s="489">
        <f t="shared" si="371"/>
        <v>0</v>
      </c>
      <c r="P172" s="460"/>
      <c r="Q172" s="462">
        <f t="shared" si="430"/>
        <v>0</v>
      </c>
      <c r="R172" s="462">
        <f t="shared" si="431"/>
        <v>0</v>
      </c>
      <c r="S172" s="462">
        <f t="shared" si="432"/>
        <v>0</v>
      </c>
      <c r="T172" s="462"/>
      <c r="U172" s="462"/>
      <c r="V172" s="462"/>
      <c r="W172" s="462"/>
      <c r="X172" s="462"/>
      <c r="Y172" s="462"/>
      <c r="Z172" s="462">
        <f t="shared" si="433"/>
        <v>0</v>
      </c>
      <c r="AA172" s="462"/>
      <c r="AB172" s="462"/>
      <c r="AC172" s="462"/>
      <c r="AD172" s="462">
        <f t="shared" si="434"/>
        <v>0</v>
      </c>
      <c r="AE172" s="462">
        <f t="shared" si="435"/>
        <v>0</v>
      </c>
      <c r="AF172" s="462">
        <f t="shared" si="436"/>
        <v>0</v>
      </c>
      <c r="AG172" s="460"/>
      <c r="AH172" s="460"/>
      <c r="AI172" s="460"/>
      <c r="AJ172" s="460"/>
      <c r="AK172" s="460"/>
      <c r="AL172" s="462">
        <f t="shared" si="437"/>
        <v>0</v>
      </c>
      <c r="AM172" s="460"/>
      <c r="AN172" s="460"/>
      <c r="AO172" s="460"/>
      <c r="AP172" s="460"/>
    </row>
    <row r="173" spans="1:42">
      <c r="A173" s="431"/>
      <c r="B173" s="435" t="s">
        <v>447</v>
      </c>
      <c r="C173" s="488">
        <f>E173+H173</f>
        <v>2363.5</v>
      </c>
      <c r="D173" s="488">
        <f t="shared" si="418"/>
        <v>2363.5</v>
      </c>
      <c r="E173" s="462">
        <f t="shared" si="296"/>
        <v>2363.5</v>
      </c>
      <c r="F173" s="462"/>
      <c r="G173" s="462">
        <f>G172*10%</f>
        <v>2363.5</v>
      </c>
      <c r="H173" s="462">
        <f t="shared" si="312"/>
        <v>0</v>
      </c>
      <c r="I173" s="462"/>
      <c r="J173" s="462"/>
      <c r="K173" s="489">
        <f t="shared" si="368"/>
        <v>0</v>
      </c>
      <c r="L173" s="489">
        <f t="shared" si="369"/>
        <v>0</v>
      </c>
      <c r="M173" s="462"/>
      <c r="N173" s="489">
        <f t="shared" si="370"/>
        <v>0</v>
      </c>
      <c r="O173" s="489">
        <f t="shared" si="371"/>
        <v>0</v>
      </c>
      <c r="P173" s="462"/>
      <c r="Q173" s="462">
        <f t="shared" si="430"/>
        <v>0</v>
      </c>
      <c r="R173" s="462">
        <f t="shared" si="431"/>
        <v>0</v>
      </c>
      <c r="S173" s="462">
        <f t="shared" si="432"/>
        <v>0</v>
      </c>
      <c r="T173" s="462"/>
      <c r="U173" s="462"/>
      <c r="V173" s="462"/>
      <c r="W173" s="462"/>
      <c r="X173" s="462"/>
      <c r="Y173" s="462"/>
      <c r="Z173" s="462">
        <f t="shared" si="433"/>
        <v>0</v>
      </c>
      <c r="AA173" s="462"/>
      <c r="AB173" s="462"/>
      <c r="AC173" s="462"/>
      <c r="AD173" s="462">
        <f>AE173+AF173</f>
        <v>0</v>
      </c>
      <c r="AE173" s="462">
        <f t="shared" si="435"/>
        <v>0</v>
      </c>
      <c r="AF173" s="462">
        <f t="shared" si="436"/>
        <v>0</v>
      </c>
      <c r="AG173" s="462"/>
      <c r="AH173" s="462"/>
      <c r="AI173" s="462"/>
      <c r="AJ173" s="462"/>
      <c r="AK173" s="462"/>
      <c r="AL173" s="462">
        <f t="shared" si="437"/>
        <v>0</v>
      </c>
      <c r="AM173" s="462"/>
      <c r="AN173" s="462"/>
      <c r="AO173" s="462"/>
      <c r="AP173" s="462"/>
    </row>
    <row r="174" spans="1:42" s="434" customFormat="1">
      <c r="A174" s="561" t="s">
        <v>196</v>
      </c>
      <c r="B174" s="433" t="s">
        <v>398</v>
      </c>
      <c r="C174" s="489">
        <f>E174+H174</f>
        <v>507965</v>
      </c>
      <c r="D174" s="489">
        <f t="shared" ref="D174" si="438">E174+H174+M174+P174+Q174+AD174</f>
        <v>519165</v>
      </c>
      <c r="E174" s="495">
        <f>F174+G174</f>
        <v>406081</v>
      </c>
      <c r="F174" s="495"/>
      <c r="G174" s="495">
        <f>273885+138452-166-6+51+1154+3430+389-42+400-1-11000-1+203-1249+582</f>
        <v>406081</v>
      </c>
      <c r="H174" s="495">
        <f t="shared" si="312"/>
        <v>101884</v>
      </c>
      <c r="I174" s="495">
        <v>101884</v>
      </c>
      <c r="J174" s="495"/>
      <c r="K174" s="489">
        <f t="shared" si="368"/>
        <v>0</v>
      </c>
      <c r="L174" s="489">
        <f t="shared" si="369"/>
        <v>0</v>
      </c>
      <c r="M174" s="495"/>
      <c r="N174" s="489">
        <f t="shared" si="370"/>
        <v>0</v>
      </c>
      <c r="O174" s="489">
        <f t="shared" si="371"/>
        <v>0</v>
      </c>
      <c r="P174" s="495"/>
      <c r="Q174" s="462">
        <f t="shared" si="430"/>
        <v>0</v>
      </c>
      <c r="R174" s="462">
        <f t="shared" si="431"/>
        <v>0</v>
      </c>
      <c r="S174" s="462">
        <f t="shared" si="432"/>
        <v>0</v>
      </c>
      <c r="T174" s="462"/>
      <c r="U174" s="462"/>
      <c r="V174" s="462"/>
      <c r="W174" s="462"/>
      <c r="X174" s="462"/>
      <c r="Y174" s="462"/>
      <c r="Z174" s="462"/>
      <c r="AA174" s="462"/>
      <c r="AB174" s="462"/>
      <c r="AC174" s="462"/>
      <c r="AD174" s="462">
        <f t="shared" si="434"/>
        <v>11200</v>
      </c>
      <c r="AE174" s="462">
        <f t="shared" si="435"/>
        <v>11200</v>
      </c>
      <c r="AF174" s="462">
        <f t="shared" si="436"/>
        <v>0</v>
      </c>
      <c r="AG174" s="495"/>
      <c r="AH174" s="495"/>
      <c r="AI174" s="495"/>
      <c r="AJ174" s="495"/>
      <c r="AK174" s="462">
        <v>11200</v>
      </c>
      <c r="AL174" s="462">
        <f t="shared" si="437"/>
        <v>0</v>
      </c>
      <c r="AM174" s="495"/>
      <c r="AN174" s="495"/>
      <c r="AO174" s="495"/>
      <c r="AP174" s="495"/>
    </row>
    <row r="175" spans="1:42" s="434" customFormat="1" ht="31.5">
      <c r="A175" s="561" t="s">
        <v>197</v>
      </c>
      <c r="B175" s="433" t="s">
        <v>421</v>
      </c>
      <c r="C175" s="489">
        <f>C176+C184+C189</f>
        <v>0</v>
      </c>
      <c r="D175" s="489">
        <f t="shared" ref="D175" si="439">D176+D184+D189</f>
        <v>166576</v>
      </c>
      <c r="E175" s="495">
        <f t="shared" ref="E175:J175" si="440">E176+E184+E189</f>
        <v>0</v>
      </c>
      <c r="F175" s="495">
        <f t="shared" si="440"/>
        <v>0</v>
      </c>
      <c r="G175" s="495">
        <f t="shared" si="440"/>
        <v>0</v>
      </c>
      <c r="H175" s="495">
        <f t="shared" si="440"/>
        <v>0</v>
      </c>
      <c r="I175" s="495">
        <f t="shared" si="440"/>
        <v>0</v>
      </c>
      <c r="J175" s="495">
        <f t="shared" si="440"/>
        <v>0</v>
      </c>
      <c r="K175" s="489">
        <f t="shared" si="368"/>
        <v>166576</v>
      </c>
      <c r="L175" s="489">
        <f t="shared" si="369"/>
        <v>0</v>
      </c>
      <c r="M175" s="495">
        <f t="shared" ref="M175" si="441">M176+M184+M189</f>
        <v>166576</v>
      </c>
      <c r="N175" s="489">
        <f t="shared" si="370"/>
        <v>0</v>
      </c>
      <c r="O175" s="489">
        <f t="shared" si="371"/>
        <v>0</v>
      </c>
      <c r="P175" s="495">
        <f t="shared" ref="P175" si="442">P176+P184+P189</f>
        <v>0</v>
      </c>
      <c r="Q175" s="495">
        <f t="shared" ref="Q175:AP175" si="443">Q176+Q184+Q189</f>
        <v>0</v>
      </c>
      <c r="R175" s="495">
        <f t="shared" si="443"/>
        <v>0</v>
      </c>
      <c r="S175" s="495">
        <f t="shared" si="443"/>
        <v>0</v>
      </c>
      <c r="T175" s="495">
        <f t="shared" si="443"/>
        <v>0</v>
      </c>
      <c r="U175" s="495">
        <f t="shared" si="443"/>
        <v>0</v>
      </c>
      <c r="V175" s="495">
        <f t="shared" si="443"/>
        <v>0</v>
      </c>
      <c r="W175" s="495">
        <f t="shared" si="443"/>
        <v>0</v>
      </c>
      <c r="X175" s="495">
        <f t="shared" si="443"/>
        <v>0</v>
      </c>
      <c r="Y175" s="495">
        <f t="shared" si="443"/>
        <v>0</v>
      </c>
      <c r="Z175" s="495">
        <f t="shared" si="443"/>
        <v>0</v>
      </c>
      <c r="AA175" s="495">
        <f t="shared" si="443"/>
        <v>0</v>
      </c>
      <c r="AB175" s="495">
        <f t="shared" si="443"/>
        <v>0</v>
      </c>
      <c r="AC175" s="495">
        <f t="shared" si="443"/>
        <v>0</v>
      </c>
      <c r="AD175" s="495">
        <f t="shared" si="443"/>
        <v>0</v>
      </c>
      <c r="AE175" s="495">
        <f t="shared" si="443"/>
        <v>0</v>
      </c>
      <c r="AF175" s="495">
        <f t="shared" si="443"/>
        <v>0</v>
      </c>
      <c r="AG175" s="495">
        <f t="shared" si="443"/>
        <v>0</v>
      </c>
      <c r="AH175" s="495">
        <f t="shared" si="443"/>
        <v>0</v>
      </c>
      <c r="AI175" s="495">
        <f t="shared" si="443"/>
        <v>0</v>
      </c>
      <c r="AJ175" s="495">
        <f t="shared" si="443"/>
        <v>0</v>
      </c>
      <c r="AK175" s="495">
        <f t="shared" si="443"/>
        <v>0</v>
      </c>
      <c r="AL175" s="495">
        <f t="shared" si="443"/>
        <v>0</v>
      </c>
      <c r="AM175" s="495">
        <f t="shared" si="443"/>
        <v>0</v>
      </c>
      <c r="AN175" s="495">
        <f t="shared" si="443"/>
        <v>0</v>
      </c>
      <c r="AO175" s="495">
        <f t="shared" si="443"/>
        <v>0</v>
      </c>
      <c r="AP175" s="495">
        <f t="shared" si="443"/>
        <v>0</v>
      </c>
    </row>
    <row r="176" spans="1:42" s="434" customFormat="1">
      <c r="A176" s="561">
        <v>1</v>
      </c>
      <c r="B176" s="433" t="s">
        <v>482</v>
      </c>
      <c r="C176" s="489"/>
      <c r="D176" s="489">
        <f>SUM(D177:D183)</f>
        <v>49988</v>
      </c>
      <c r="E176" s="495">
        <f t="shared" ref="E176:J176" si="444">SUM(E177:E183)</f>
        <v>0</v>
      </c>
      <c r="F176" s="495">
        <f t="shared" si="444"/>
        <v>0</v>
      </c>
      <c r="G176" s="495">
        <f t="shared" si="444"/>
        <v>0</v>
      </c>
      <c r="H176" s="495">
        <f t="shared" si="444"/>
        <v>0</v>
      </c>
      <c r="I176" s="495">
        <f t="shared" si="444"/>
        <v>0</v>
      </c>
      <c r="J176" s="495">
        <f t="shared" si="444"/>
        <v>0</v>
      </c>
      <c r="K176" s="489">
        <f t="shared" si="368"/>
        <v>49988</v>
      </c>
      <c r="L176" s="489">
        <f t="shared" si="369"/>
        <v>0</v>
      </c>
      <c r="M176" s="495">
        <f>SUM(M177:M183)</f>
        <v>49988</v>
      </c>
      <c r="N176" s="489">
        <f t="shared" si="370"/>
        <v>0</v>
      </c>
      <c r="O176" s="489">
        <f t="shared" si="371"/>
        <v>0</v>
      </c>
      <c r="P176" s="495">
        <f t="shared" ref="P176" si="445">SUM(P177:P183)</f>
        <v>0</v>
      </c>
      <c r="Q176" s="495">
        <f t="shared" ref="Q176:AP176" si="446">SUM(Q177:Q183)</f>
        <v>0</v>
      </c>
      <c r="R176" s="495">
        <f t="shared" si="446"/>
        <v>0</v>
      </c>
      <c r="S176" s="495">
        <f t="shared" si="446"/>
        <v>0</v>
      </c>
      <c r="T176" s="495">
        <f t="shared" si="446"/>
        <v>0</v>
      </c>
      <c r="U176" s="495">
        <f t="shared" si="446"/>
        <v>0</v>
      </c>
      <c r="V176" s="495">
        <f t="shared" si="446"/>
        <v>0</v>
      </c>
      <c r="W176" s="495">
        <f t="shared" si="446"/>
        <v>0</v>
      </c>
      <c r="X176" s="495">
        <f t="shared" si="446"/>
        <v>0</v>
      </c>
      <c r="Y176" s="495">
        <f t="shared" si="446"/>
        <v>0</v>
      </c>
      <c r="Z176" s="495">
        <f t="shared" si="446"/>
        <v>0</v>
      </c>
      <c r="AA176" s="495">
        <f t="shared" si="446"/>
        <v>0</v>
      </c>
      <c r="AB176" s="495">
        <f t="shared" si="446"/>
        <v>0</v>
      </c>
      <c r="AC176" s="495">
        <f t="shared" si="446"/>
        <v>0</v>
      </c>
      <c r="AD176" s="495">
        <f t="shared" si="446"/>
        <v>0</v>
      </c>
      <c r="AE176" s="495">
        <f t="shared" si="446"/>
        <v>0</v>
      </c>
      <c r="AF176" s="495">
        <f t="shared" si="446"/>
        <v>0</v>
      </c>
      <c r="AG176" s="495">
        <f t="shared" si="446"/>
        <v>0</v>
      </c>
      <c r="AH176" s="495">
        <f t="shared" si="446"/>
        <v>0</v>
      </c>
      <c r="AI176" s="495">
        <f t="shared" si="446"/>
        <v>0</v>
      </c>
      <c r="AJ176" s="495">
        <f t="shared" si="446"/>
        <v>0</v>
      </c>
      <c r="AK176" s="495">
        <f t="shared" si="446"/>
        <v>0</v>
      </c>
      <c r="AL176" s="495">
        <f t="shared" si="446"/>
        <v>0</v>
      </c>
      <c r="AM176" s="495">
        <f t="shared" si="446"/>
        <v>0</v>
      </c>
      <c r="AN176" s="495">
        <f t="shared" si="446"/>
        <v>0</v>
      </c>
      <c r="AO176" s="495">
        <f t="shared" si="446"/>
        <v>0</v>
      </c>
      <c r="AP176" s="495">
        <f t="shared" si="446"/>
        <v>0</v>
      </c>
    </row>
    <row r="177" spans="1:42" s="434" customFormat="1" ht="31.5">
      <c r="A177" s="561"/>
      <c r="B177" s="436" t="s">
        <v>483</v>
      </c>
      <c r="C177" s="488"/>
      <c r="D177" s="488">
        <f t="shared" ref="D177:D183" si="447">E177+H177+M177+P177+Q177+AD177</f>
        <v>5782</v>
      </c>
      <c r="E177" s="495">
        <f t="shared" ref="E177:E183" si="448">F177+G177</f>
        <v>0</v>
      </c>
      <c r="F177" s="495"/>
      <c r="G177" s="495"/>
      <c r="H177" s="495">
        <f t="shared" ref="H177:H183" si="449">I177+J177</f>
        <v>0</v>
      </c>
      <c r="I177" s="495"/>
      <c r="J177" s="495"/>
      <c r="K177" s="489">
        <f t="shared" si="368"/>
        <v>5782</v>
      </c>
      <c r="L177" s="489">
        <f t="shared" si="369"/>
        <v>0</v>
      </c>
      <c r="M177" s="495">
        <f>5782-L177</f>
        <v>5782</v>
      </c>
      <c r="N177" s="489">
        <f t="shared" si="370"/>
        <v>0</v>
      </c>
      <c r="O177" s="489">
        <f t="shared" si="371"/>
        <v>0</v>
      </c>
      <c r="P177" s="495"/>
      <c r="Q177" s="462">
        <f t="shared" ref="Q177:Q183" si="450">R177+S177</f>
        <v>0</v>
      </c>
      <c r="R177" s="462">
        <f t="shared" ref="R177:R183" si="451">T177+U177+V177+W177+X177+Y177+AA177</f>
        <v>0</v>
      </c>
      <c r="S177" s="462">
        <f t="shared" ref="S177:S183" si="452">AB177</f>
        <v>0</v>
      </c>
      <c r="T177" s="462"/>
      <c r="U177" s="462"/>
      <c r="V177" s="462"/>
      <c r="W177" s="462"/>
      <c r="X177" s="462"/>
      <c r="Y177" s="462"/>
      <c r="Z177" s="462"/>
      <c r="AA177" s="462"/>
      <c r="AB177" s="462"/>
      <c r="AC177" s="462"/>
      <c r="AD177" s="462">
        <f t="shared" ref="AD177:AD183" si="453">AE177+AF177</f>
        <v>0</v>
      </c>
      <c r="AE177" s="462">
        <f t="shared" ref="AE177:AE183" si="454">AG177+AH177+AI177+AJ177+AK177+AM177+AO177+AP177</f>
        <v>0</v>
      </c>
      <c r="AF177" s="462">
        <f t="shared" ref="AF177:AF183" si="455">AN177</f>
        <v>0</v>
      </c>
      <c r="AG177" s="495"/>
      <c r="AH177" s="495"/>
      <c r="AI177" s="495"/>
      <c r="AJ177" s="495"/>
      <c r="AK177" s="495"/>
      <c r="AL177" s="495"/>
      <c r="AM177" s="495"/>
      <c r="AN177" s="495"/>
      <c r="AO177" s="495"/>
      <c r="AP177" s="495"/>
    </row>
    <row r="178" spans="1:42" s="434" customFormat="1">
      <c r="A178" s="561"/>
      <c r="B178" s="436" t="s">
        <v>523</v>
      </c>
      <c r="C178" s="488"/>
      <c r="D178" s="488">
        <f t="shared" si="447"/>
        <v>4535</v>
      </c>
      <c r="E178" s="495">
        <f t="shared" si="448"/>
        <v>0</v>
      </c>
      <c r="F178" s="495"/>
      <c r="G178" s="495"/>
      <c r="H178" s="495">
        <f t="shared" si="449"/>
        <v>0</v>
      </c>
      <c r="I178" s="495"/>
      <c r="J178" s="495"/>
      <c r="K178" s="489">
        <f t="shared" si="368"/>
        <v>4535</v>
      </c>
      <c r="L178" s="489">
        <f t="shared" si="369"/>
        <v>0</v>
      </c>
      <c r="M178" s="495">
        <f>4535-L178</f>
        <v>4535</v>
      </c>
      <c r="N178" s="489">
        <f t="shared" si="370"/>
        <v>0</v>
      </c>
      <c r="O178" s="489">
        <f t="shared" si="371"/>
        <v>0</v>
      </c>
      <c r="P178" s="495"/>
      <c r="Q178" s="462">
        <f t="shared" si="450"/>
        <v>0</v>
      </c>
      <c r="R178" s="462">
        <f t="shared" si="451"/>
        <v>0</v>
      </c>
      <c r="S178" s="462">
        <f t="shared" si="452"/>
        <v>0</v>
      </c>
      <c r="T178" s="462"/>
      <c r="U178" s="462"/>
      <c r="V178" s="462"/>
      <c r="W178" s="462"/>
      <c r="X178" s="462"/>
      <c r="Y178" s="462"/>
      <c r="Z178" s="462"/>
      <c r="AA178" s="462"/>
      <c r="AB178" s="462"/>
      <c r="AC178" s="462"/>
      <c r="AD178" s="462">
        <f t="shared" si="453"/>
        <v>0</v>
      </c>
      <c r="AE178" s="462">
        <f t="shared" si="454"/>
        <v>0</v>
      </c>
      <c r="AF178" s="462">
        <f t="shared" si="455"/>
        <v>0</v>
      </c>
      <c r="AG178" s="495"/>
      <c r="AH178" s="495"/>
      <c r="AI178" s="495"/>
      <c r="AJ178" s="495"/>
      <c r="AK178" s="495"/>
      <c r="AL178" s="495"/>
      <c r="AM178" s="495"/>
      <c r="AN178" s="495"/>
      <c r="AO178" s="495"/>
      <c r="AP178" s="495"/>
    </row>
    <row r="179" spans="1:42" s="434" customFormat="1">
      <c r="A179" s="561"/>
      <c r="B179" s="436" t="s">
        <v>485</v>
      </c>
      <c r="C179" s="488"/>
      <c r="D179" s="488">
        <f t="shared" si="447"/>
        <v>8988</v>
      </c>
      <c r="E179" s="495">
        <f t="shared" si="448"/>
        <v>0</v>
      </c>
      <c r="F179" s="495"/>
      <c r="G179" s="495"/>
      <c r="H179" s="495">
        <f t="shared" si="449"/>
        <v>0</v>
      </c>
      <c r="I179" s="495"/>
      <c r="J179" s="495"/>
      <c r="K179" s="489">
        <f t="shared" si="368"/>
        <v>8988</v>
      </c>
      <c r="L179" s="489">
        <f t="shared" si="369"/>
        <v>0</v>
      </c>
      <c r="M179" s="495">
        <f>8988-L179</f>
        <v>8988</v>
      </c>
      <c r="N179" s="489">
        <f t="shared" si="370"/>
        <v>0</v>
      </c>
      <c r="O179" s="489">
        <f t="shared" si="371"/>
        <v>0</v>
      </c>
      <c r="P179" s="495"/>
      <c r="Q179" s="462">
        <f t="shared" si="450"/>
        <v>0</v>
      </c>
      <c r="R179" s="462">
        <f t="shared" si="451"/>
        <v>0</v>
      </c>
      <c r="S179" s="462">
        <f t="shared" si="452"/>
        <v>0</v>
      </c>
      <c r="T179" s="462"/>
      <c r="U179" s="462"/>
      <c r="V179" s="462"/>
      <c r="W179" s="462"/>
      <c r="X179" s="462"/>
      <c r="Y179" s="462"/>
      <c r="Z179" s="462"/>
      <c r="AA179" s="462"/>
      <c r="AB179" s="462"/>
      <c r="AC179" s="462"/>
      <c r="AD179" s="462">
        <f t="shared" si="453"/>
        <v>0</v>
      </c>
      <c r="AE179" s="462">
        <f t="shared" si="454"/>
        <v>0</v>
      </c>
      <c r="AF179" s="462">
        <f t="shared" si="455"/>
        <v>0</v>
      </c>
      <c r="AG179" s="495"/>
      <c r="AH179" s="495"/>
      <c r="AI179" s="495"/>
      <c r="AJ179" s="495"/>
      <c r="AK179" s="495"/>
      <c r="AL179" s="495"/>
      <c r="AM179" s="495"/>
      <c r="AN179" s="495"/>
      <c r="AO179" s="495"/>
      <c r="AP179" s="495"/>
    </row>
    <row r="180" spans="1:42" s="434" customFormat="1">
      <c r="A180" s="561"/>
      <c r="B180" s="436" t="s">
        <v>486</v>
      </c>
      <c r="C180" s="488"/>
      <c r="D180" s="488">
        <f t="shared" si="447"/>
        <v>1293</v>
      </c>
      <c r="E180" s="495">
        <f t="shared" si="448"/>
        <v>0</v>
      </c>
      <c r="F180" s="495"/>
      <c r="G180" s="495"/>
      <c r="H180" s="495">
        <f t="shared" si="449"/>
        <v>0</v>
      </c>
      <c r="I180" s="495"/>
      <c r="J180" s="495"/>
      <c r="K180" s="489">
        <f t="shared" si="368"/>
        <v>1293</v>
      </c>
      <c r="L180" s="489">
        <f t="shared" si="369"/>
        <v>0</v>
      </c>
      <c r="M180" s="495">
        <f>1293-L180</f>
        <v>1293</v>
      </c>
      <c r="N180" s="489">
        <f t="shared" si="370"/>
        <v>0</v>
      </c>
      <c r="O180" s="489">
        <f t="shared" si="371"/>
        <v>0</v>
      </c>
      <c r="P180" s="495"/>
      <c r="Q180" s="462">
        <f t="shared" si="450"/>
        <v>0</v>
      </c>
      <c r="R180" s="462">
        <f t="shared" si="451"/>
        <v>0</v>
      </c>
      <c r="S180" s="462">
        <f t="shared" si="452"/>
        <v>0</v>
      </c>
      <c r="T180" s="462"/>
      <c r="U180" s="462"/>
      <c r="V180" s="462"/>
      <c r="W180" s="462"/>
      <c r="X180" s="462"/>
      <c r="Y180" s="462"/>
      <c r="Z180" s="462"/>
      <c r="AA180" s="462"/>
      <c r="AB180" s="462"/>
      <c r="AC180" s="462"/>
      <c r="AD180" s="462">
        <f t="shared" si="453"/>
        <v>0</v>
      </c>
      <c r="AE180" s="462">
        <f t="shared" si="454"/>
        <v>0</v>
      </c>
      <c r="AF180" s="462">
        <f t="shared" si="455"/>
        <v>0</v>
      </c>
      <c r="AG180" s="495"/>
      <c r="AH180" s="495"/>
      <c r="AI180" s="495"/>
      <c r="AJ180" s="495"/>
      <c r="AK180" s="495"/>
      <c r="AL180" s="495"/>
      <c r="AM180" s="495"/>
      <c r="AN180" s="495"/>
      <c r="AO180" s="495"/>
      <c r="AP180" s="495"/>
    </row>
    <row r="181" spans="1:42" s="434" customFormat="1" ht="31.5">
      <c r="A181" s="561"/>
      <c r="B181" s="436" t="s">
        <v>487</v>
      </c>
      <c r="C181" s="488"/>
      <c r="D181" s="488">
        <f t="shared" si="447"/>
        <v>2390</v>
      </c>
      <c r="E181" s="495">
        <f t="shared" si="448"/>
        <v>0</v>
      </c>
      <c r="F181" s="495"/>
      <c r="G181" s="495"/>
      <c r="H181" s="495">
        <f t="shared" si="449"/>
        <v>0</v>
      </c>
      <c r="I181" s="495"/>
      <c r="J181" s="495"/>
      <c r="K181" s="489">
        <f t="shared" si="368"/>
        <v>2390</v>
      </c>
      <c r="L181" s="489">
        <f t="shared" si="369"/>
        <v>0</v>
      </c>
      <c r="M181" s="495">
        <f>2390-L181</f>
        <v>2390</v>
      </c>
      <c r="N181" s="489">
        <f t="shared" si="370"/>
        <v>0</v>
      </c>
      <c r="O181" s="489">
        <f t="shared" si="371"/>
        <v>0</v>
      </c>
      <c r="P181" s="495"/>
      <c r="Q181" s="462">
        <f t="shared" si="450"/>
        <v>0</v>
      </c>
      <c r="R181" s="462">
        <f t="shared" si="451"/>
        <v>0</v>
      </c>
      <c r="S181" s="462">
        <f t="shared" si="452"/>
        <v>0</v>
      </c>
      <c r="T181" s="462"/>
      <c r="U181" s="462"/>
      <c r="V181" s="462"/>
      <c r="W181" s="462"/>
      <c r="X181" s="462"/>
      <c r="Y181" s="462"/>
      <c r="Z181" s="462"/>
      <c r="AA181" s="462"/>
      <c r="AB181" s="462"/>
      <c r="AC181" s="462"/>
      <c r="AD181" s="462">
        <f t="shared" si="453"/>
        <v>0</v>
      </c>
      <c r="AE181" s="462">
        <f t="shared" si="454"/>
        <v>0</v>
      </c>
      <c r="AF181" s="462">
        <f t="shared" si="455"/>
        <v>0</v>
      </c>
      <c r="AG181" s="495"/>
      <c r="AH181" s="495"/>
      <c r="AI181" s="495"/>
      <c r="AJ181" s="495"/>
      <c r="AK181" s="495"/>
      <c r="AL181" s="495"/>
      <c r="AM181" s="495"/>
      <c r="AN181" s="495"/>
      <c r="AO181" s="495"/>
      <c r="AP181" s="495"/>
    </row>
    <row r="182" spans="1:42" s="434" customFormat="1">
      <c r="A182" s="561"/>
      <c r="B182" s="436" t="s">
        <v>488</v>
      </c>
      <c r="C182" s="488"/>
      <c r="D182" s="488">
        <f t="shared" si="447"/>
        <v>25000</v>
      </c>
      <c r="E182" s="495">
        <f t="shared" si="448"/>
        <v>0</v>
      </c>
      <c r="F182" s="495"/>
      <c r="G182" s="495"/>
      <c r="H182" s="495">
        <f t="shared" si="449"/>
        <v>0</v>
      </c>
      <c r="I182" s="495"/>
      <c r="J182" s="495"/>
      <c r="K182" s="489">
        <f t="shared" si="368"/>
        <v>25000</v>
      </c>
      <c r="L182" s="489">
        <f t="shared" si="369"/>
        <v>0</v>
      </c>
      <c r="M182" s="495">
        <f>25000-L182</f>
        <v>25000</v>
      </c>
      <c r="N182" s="489">
        <f t="shared" si="370"/>
        <v>0</v>
      </c>
      <c r="O182" s="489">
        <f t="shared" si="371"/>
        <v>0</v>
      </c>
      <c r="P182" s="495"/>
      <c r="Q182" s="462">
        <f t="shared" si="450"/>
        <v>0</v>
      </c>
      <c r="R182" s="462">
        <f t="shared" si="451"/>
        <v>0</v>
      </c>
      <c r="S182" s="462">
        <f t="shared" si="452"/>
        <v>0</v>
      </c>
      <c r="T182" s="462"/>
      <c r="U182" s="462"/>
      <c r="V182" s="462"/>
      <c r="W182" s="462"/>
      <c r="X182" s="462"/>
      <c r="Y182" s="462"/>
      <c r="Z182" s="462"/>
      <c r="AA182" s="462"/>
      <c r="AB182" s="462"/>
      <c r="AC182" s="462"/>
      <c r="AD182" s="462">
        <f t="shared" si="453"/>
        <v>0</v>
      </c>
      <c r="AE182" s="462">
        <f t="shared" si="454"/>
        <v>0</v>
      </c>
      <c r="AF182" s="462">
        <f t="shared" si="455"/>
        <v>0</v>
      </c>
      <c r="AG182" s="495"/>
      <c r="AH182" s="495"/>
      <c r="AI182" s="495"/>
      <c r="AJ182" s="495"/>
      <c r="AK182" s="495"/>
      <c r="AL182" s="495"/>
      <c r="AM182" s="495"/>
      <c r="AN182" s="495"/>
      <c r="AO182" s="495"/>
      <c r="AP182" s="495"/>
    </row>
    <row r="183" spans="1:42" s="434" customFormat="1" ht="31.5">
      <c r="A183" s="561"/>
      <c r="B183" s="436" t="s">
        <v>489</v>
      </c>
      <c r="C183" s="488"/>
      <c r="D183" s="488">
        <f t="shared" si="447"/>
        <v>2000</v>
      </c>
      <c r="E183" s="495">
        <f t="shared" si="448"/>
        <v>0</v>
      </c>
      <c r="F183" s="495"/>
      <c r="G183" s="495"/>
      <c r="H183" s="495">
        <f t="shared" si="449"/>
        <v>0</v>
      </c>
      <c r="I183" s="495"/>
      <c r="J183" s="495"/>
      <c r="K183" s="489">
        <f t="shared" si="368"/>
        <v>2000</v>
      </c>
      <c r="L183" s="489">
        <f t="shared" si="369"/>
        <v>0</v>
      </c>
      <c r="M183" s="495">
        <f>2000-L183</f>
        <v>2000</v>
      </c>
      <c r="N183" s="489">
        <f t="shared" si="370"/>
        <v>0</v>
      </c>
      <c r="O183" s="489">
        <f t="shared" si="371"/>
        <v>0</v>
      </c>
      <c r="P183" s="495"/>
      <c r="Q183" s="462">
        <f t="shared" si="450"/>
        <v>0</v>
      </c>
      <c r="R183" s="462">
        <f t="shared" si="451"/>
        <v>0</v>
      </c>
      <c r="S183" s="462">
        <f t="shared" si="452"/>
        <v>0</v>
      </c>
      <c r="T183" s="462"/>
      <c r="U183" s="462"/>
      <c r="V183" s="462"/>
      <c r="W183" s="462"/>
      <c r="X183" s="462"/>
      <c r="Y183" s="462"/>
      <c r="Z183" s="462"/>
      <c r="AA183" s="462"/>
      <c r="AB183" s="462"/>
      <c r="AC183" s="462"/>
      <c r="AD183" s="462">
        <f t="shared" si="453"/>
        <v>0</v>
      </c>
      <c r="AE183" s="462">
        <f t="shared" si="454"/>
        <v>0</v>
      </c>
      <c r="AF183" s="462">
        <f t="shared" si="455"/>
        <v>0</v>
      </c>
      <c r="AG183" s="495"/>
      <c r="AH183" s="495"/>
      <c r="AI183" s="495"/>
      <c r="AJ183" s="495"/>
      <c r="AK183" s="495"/>
      <c r="AL183" s="495"/>
      <c r="AM183" s="495"/>
      <c r="AN183" s="495"/>
      <c r="AO183" s="495"/>
      <c r="AP183" s="495"/>
    </row>
    <row r="184" spans="1:42" s="434" customFormat="1">
      <c r="A184" s="561">
        <v>2</v>
      </c>
      <c r="B184" s="433" t="s">
        <v>490</v>
      </c>
      <c r="C184" s="489"/>
      <c r="D184" s="489">
        <f t="shared" ref="D184" si="456">SUM(D185:D188)</f>
        <v>37098</v>
      </c>
      <c r="E184" s="495">
        <f t="shared" ref="E184:J184" si="457">SUM(E185:E188)</f>
        <v>0</v>
      </c>
      <c r="F184" s="495">
        <f t="shared" si="457"/>
        <v>0</v>
      </c>
      <c r="G184" s="495">
        <f t="shared" si="457"/>
        <v>0</v>
      </c>
      <c r="H184" s="495">
        <f t="shared" si="457"/>
        <v>0</v>
      </c>
      <c r="I184" s="495">
        <f t="shared" si="457"/>
        <v>0</v>
      </c>
      <c r="J184" s="495">
        <f t="shared" si="457"/>
        <v>0</v>
      </c>
      <c r="K184" s="489">
        <f t="shared" si="368"/>
        <v>37098</v>
      </c>
      <c r="L184" s="489">
        <f t="shared" si="369"/>
        <v>0</v>
      </c>
      <c r="M184" s="495">
        <f t="shared" ref="M184" si="458">SUM(M185:M188)</f>
        <v>37098</v>
      </c>
      <c r="N184" s="489">
        <f t="shared" si="370"/>
        <v>0</v>
      </c>
      <c r="O184" s="489">
        <f t="shared" si="371"/>
        <v>0</v>
      </c>
      <c r="P184" s="495">
        <f t="shared" ref="P184" si="459">SUM(P185:P188)</f>
        <v>0</v>
      </c>
      <c r="Q184" s="495">
        <f t="shared" ref="Q184:AP184" si="460">SUM(Q185:Q188)</f>
        <v>0</v>
      </c>
      <c r="R184" s="495">
        <f t="shared" si="460"/>
        <v>0</v>
      </c>
      <c r="S184" s="495">
        <f t="shared" si="460"/>
        <v>0</v>
      </c>
      <c r="T184" s="495">
        <f t="shared" si="460"/>
        <v>0</v>
      </c>
      <c r="U184" s="495">
        <f t="shared" si="460"/>
        <v>0</v>
      </c>
      <c r="V184" s="495">
        <f t="shared" si="460"/>
        <v>0</v>
      </c>
      <c r="W184" s="495">
        <f t="shared" si="460"/>
        <v>0</v>
      </c>
      <c r="X184" s="495">
        <f t="shared" si="460"/>
        <v>0</v>
      </c>
      <c r="Y184" s="495">
        <f t="shared" si="460"/>
        <v>0</v>
      </c>
      <c r="Z184" s="495">
        <f t="shared" si="460"/>
        <v>0</v>
      </c>
      <c r="AA184" s="495">
        <f t="shared" si="460"/>
        <v>0</v>
      </c>
      <c r="AB184" s="495">
        <f t="shared" si="460"/>
        <v>0</v>
      </c>
      <c r="AC184" s="495">
        <f t="shared" si="460"/>
        <v>0</v>
      </c>
      <c r="AD184" s="495">
        <f t="shared" si="460"/>
        <v>0</v>
      </c>
      <c r="AE184" s="495">
        <f t="shared" si="460"/>
        <v>0</v>
      </c>
      <c r="AF184" s="495">
        <f t="shared" si="460"/>
        <v>0</v>
      </c>
      <c r="AG184" s="495">
        <f t="shared" si="460"/>
        <v>0</v>
      </c>
      <c r="AH184" s="495">
        <f t="shared" si="460"/>
        <v>0</v>
      </c>
      <c r="AI184" s="495">
        <f t="shared" si="460"/>
        <v>0</v>
      </c>
      <c r="AJ184" s="495">
        <f t="shared" si="460"/>
        <v>0</v>
      </c>
      <c r="AK184" s="495">
        <f t="shared" si="460"/>
        <v>0</v>
      </c>
      <c r="AL184" s="495">
        <f t="shared" si="460"/>
        <v>0</v>
      </c>
      <c r="AM184" s="495">
        <f t="shared" si="460"/>
        <v>0</v>
      </c>
      <c r="AN184" s="495">
        <f t="shared" si="460"/>
        <v>0</v>
      </c>
      <c r="AO184" s="495">
        <f t="shared" si="460"/>
        <v>0</v>
      </c>
      <c r="AP184" s="495">
        <f t="shared" si="460"/>
        <v>0</v>
      </c>
    </row>
    <row r="185" spans="1:42" s="434" customFormat="1" ht="31.5">
      <c r="A185" s="561"/>
      <c r="B185" s="436" t="s">
        <v>491</v>
      </c>
      <c r="C185" s="488"/>
      <c r="D185" s="488">
        <f t="shared" ref="D185:D189" si="461">E185+H185+M185+P185+Q185+AD185</f>
        <v>1185</v>
      </c>
      <c r="E185" s="495">
        <f t="shared" ref="E185:E189" si="462">F185+G185</f>
        <v>0</v>
      </c>
      <c r="F185" s="495"/>
      <c r="G185" s="495"/>
      <c r="H185" s="495">
        <f t="shared" ref="H185:H189" si="463">I185+J185</f>
        <v>0</v>
      </c>
      <c r="I185" s="495"/>
      <c r="J185" s="495"/>
      <c r="K185" s="489">
        <f t="shared" si="368"/>
        <v>1185</v>
      </c>
      <c r="L185" s="489">
        <f t="shared" si="369"/>
        <v>0</v>
      </c>
      <c r="M185" s="495">
        <f>1185-L185</f>
        <v>1185</v>
      </c>
      <c r="N185" s="489">
        <f t="shared" si="370"/>
        <v>0</v>
      </c>
      <c r="O185" s="489">
        <f t="shared" si="371"/>
        <v>0</v>
      </c>
      <c r="P185" s="495"/>
      <c r="Q185" s="462">
        <f t="shared" ref="Q185:Q189" si="464">R185+S185</f>
        <v>0</v>
      </c>
      <c r="R185" s="462">
        <f t="shared" ref="R185:R189" si="465">T185+U185+V185+W185+X185+Y185+AA185</f>
        <v>0</v>
      </c>
      <c r="S185" s="462">
        <f t="shared" ref="S185:S189" si="466">AB185</f>
        <v>0</v>
      </c>
      <c r="T185" s="462"/>
      <c r="U185" s="462"/>
      <c r="V185" s="462"/>
      <c r="W185" s="462"/>
      <c r="X185" s="462"/>
      <c r="Y185" s="462"/>
      <c r="Z185" s="462"/>
      <c r="AA185" s="462"/>
      <c r="AB185" s="462"/>
      <c r="AC185" s="462"/>
      <c r="AD185" s="462">
        <f t="shared" ref="AD185:AD189" si="467">AE185+AF185</f>
        <v>0</v>
      </c>
      <c r="AE185" s="462">
        <f t="shared" ref="AE185:AE189" si="468">AG185+AH185+AI185+AJ185+AK185+AM185+AO185+AP185</f>
        <v>0</v>
      </c>
      <c r="AF185" s="462">
        <f t="shared" ref="AF185:AF189" si="469">AN185</f>
        <v>0</v>
      </c>
      <c r="AG185" s="495"/>
      <c r="AH185" s="495"/>
      <c r="AI185" s="495"/>
      <c r="AJ185" s="495"/>
      <c r="AK185" s="495"/>
      <c r="AL185" s="495"/>
      <c r="AM185" s="495"/>
      <c r="AN185" s="495"/>
      <c r="AO185" s="495"/>
      <c r="AP185" s="495"/>
    </row>
    <row r="186" spans="1:42" s="434" customFormat="1">
      <c r="A186" s="561"/>
      <c r="B186" s="436" t="s">
        <v>492</v>
      </c>
      <c r="C186" s="488"/>
      <c r="D186" s="488">
        <f t="shared" si="461"/>
        <v>980</v>
      </c>
      <c r="E186" s="495">
        <f t="shared" si="462"/>
        <v>0</v>
      </c>
      <c r="F186" s="495"/>
      <c r="G186" s="495"/>
      <c r="H186" s="495">
        <f t="shared" si="463"/>
        <v>0</v>
      </c>
      <c r="I186" s="495"/>
      <c r="J186" s="495"/>
      <c r="K186" s="489">
        <f t="shared" si="368"/>
        <v>980</v>
      </c>
      <c r="L186" s="489">
        <f t="shared" si="369"/>
        <v>0</v>
      </c>
      <c r="M186" s="495">
        <f>980-L186</f>
        <v>980</v>
      </c>
      <c r="N186" s="489">
        <f t="shared" si="370"/>
        <v>0</v>
      </c>
      <c r="O186" s="489">
        <f t="shared" si="371"/>
        <v>0</v>
      </c>
      <c r="P186" s="495"/>
      <c r="Q186" s="462">
        <f t="shared" si="464"/>
        <v>0</v>
      </c>
      <c r="R186" s="462">
        <f t="shared" si="465"/>
        <v>0</v>
      </c>
      <c r="S186" s="462">
        <f t="shared" si="466"/>
        <v>0</v>
      </c>
      <c r="T186" s="462"/>
      <c r="U186" s="462"/>
      <c r="V186" s="462"/>
      <c r="W186" s="462"/>
      <c r="X186" s="462"/>
      <c r="Y186" s="462"/>
      <c r="Z186" s="462"/>
      <c r="AA186" s="462"/>
      <c r="AB186" s="462"/>
      <c r="AC186" s="462"/>
      <c r="AD186" s="462">
        <f t="shared" si="467"/>
        <v>0</v>
      </c>
      <c r="AE186" s="462">
        <f t="shared" si="468"/>
        <v>0</v>
      </c>
      <c r="AF186" s="462">
        <f t="shared" si="469"/>
        <v>0</v>
      </c>
      <c r="AG186" s="495"/>
      <c r="AH186" s="495"/>
      <c r="AI186" s="495"/>
      <c r="AJ186" s="495"/>
      <c r="AK186" s="495"/>
      <c r="AL186" s="495"/>
      <c r="AM186" s="495"/>
      <c r="AN186" s="495"/>
      <c r="AO186" s="495"/>
      <c r="AP186" s="495"/>
    </row>
    <row r="187" spans="1:42" s="434" customFormat="1">
      <c r="A187" s="561"/>
      <c r="B187" s="436" t="s">
        <v>493</v>
      </c>
      <c r="C187" s="488"/>
      <c r="D187" s="488">
        <f t="shared" si="461"/>
        <v>14933</v>
      </c>
      <c r="E187" s="495">
        <f t="shared" si="462"/>
        <v>0</v>
      </c>
      <c r="F187" s="495"/>
      <c r="G187" s="495"/>
      <c r="H187" s="495">
        <f t="shared" si="463"/>
        <v>0</v>
      </c>
      <c r="I187" s="495"/>
      <c r="J187" s="495"/>
      <c r="K187" s="489">
        <f t="shared" si="368"/>
        <v>14933</v>
      </c>
      <c r="L187" s="489">
        <f t="shared" si="369"/>
        <v>0</v>
      </c>
      <c r="M187" s="495">
        <f>14933-L187</f>
        <v>14933</v>
      </c>
      <c r="N187" s="489">
        <f t="shared" si="370"/>
        <v>0</v>
      </c>
      <c r="O187" s="489">
        <f t="shared" si="371"/>
        <v>0</v>
      </c>
      <c r="P187" s="495"/>
      <c r="Q187" s="462">
        <f t="shared" si="464"/>
        <v>0</v>
      </c>
      <c r="R187" s="462">
        <f t="shared" si="465"/>
        <v>0</v>
      </c>
      <c r="S187" s="462">
        <f t="shared" si="466"/>
        <v>0</v>
      </c>
      <c r="T187" s="462"/>
      <c r="U187" s="462"/>
      <c r="V187" s="462"/>
      <c r="W187" s="462"/>
      <c r="X187" s="462"/>
      <c r="Y187" s="462"/>
      <c r="Z187" s="462"/>
      <c r="AA187" s="462"/>
      <c r="AB187" s="462"/>
      <c r="AC187" s="462"/>
      <c r="AD187" s="462">
        <f t="shared" si="467"/>
        <v>0</v>
      </c>
      <c r="AE187" s="462">
        <f t="shared" si="468"/>
        <v>0</v>
      </c>
      <c r="AF187" s="462">
        <f t="shared" si="469"/>
        <v>0</v>
      </c>
      <c r="AG187" s="495"/>
      <c r="AH187" s="495"/>
      <c r="AI187" s="495"/>
      <c r="AJ187" s="495"/>
      <c r="AK187" s="495"/>
      <c r="AL187" s="495"/>
      <c r="AM187" s="495"/>
      <c r="AN187" s="495"/>
      <c r="AO187" s="495"/>
      <c r="AP187" s="495"/>
    </row>
    <row r="188" spans="1:42" s="434" customFormat="1" ht="31.5">
      <c r="A188" s="561"/>
      <c r="B188" s="436" t="s">
        <v>494</v>
      </c>
      <c r="C188" s="488"/>
      <c r="D188" s="488">
        <f t="shared" si="461"/>
        <v>20000</v>
      </c>
      <c r="E188" s="495">
        <f t="shared" si="462"/>
        <v>0</v>
      </c>
      <c r="F188" s="495"/>
      <c r="G188" s="495"/>
      <c r="H188" s="495">
        <f t="shared" si="463"/>
        <v>0</v>
      </c>
      <c r="I188" s="495"/>
      <c r="J188" s="495"/>
      <c r="K188" s="489">
        <f t="shared" si="368"/>
        <v>20000</v>
      </c>
      <c r="L188" s="489">
        <f t="shared" si="369"/>
        <v>0</v>
      </c>
      <c r="M188" s="495">
        <f>20000-L188</f>
        <v>20000</v>
      </c>
      <c r="N188" s="489">
        <f t="shared" si="370"/>
        <v>0</v>
      </c>
      <c r="O188" s="489">
        <f t="shared" si="371"/>
        <v>0</v>
      </c>
      <c r="P188" s="495"/>
      <c r="Q188" s="462">
        <f>R188+S188</f>
        <v>0</v>
      </c>
      <c r="R188" s="462">
        <f t="shared" si="465"/>
        <v>0</v>
      </c>
      <c r="S188" s="462">
        <f t="shared" si="466"/>
        <v>0</v>
      </c>
      <c r="T188" s="462"/>
      <c r="U188" s="462"/>
      <c r="V188" s="462"/>
      <c r="W188" s="462"/>
      <c r="X188" s="462"/>
      <c r="Y188" s="462"/>
      <c r="Z188" s="462"/>
      <c r="AA188" s="462"/>
      <c r="AB188" s="462"/>
      <c r="AC188" s="462"/>
      <c r="AD188" s="462">
        <f t="shared" si="467"/>
        <v>0</v>
      </c>
      <c r="AE188" s="462">
        <f t="shared" si="468"/>
        <v>0</v>
      </c>
      <c r="AF188" s="462">
        <f t="shared" si="469"/>
        <v>0</v>
      </c>
      <c r="AG188" s="495"/>
      <c r="AH188" s="495"/>
      <c r="AI188" s="495"/>
      <c r="AJ188" s="495"/>
      <c r="AK188" s="495"/>
      <c r="AL188" s="495"/>
      <c r="AM188" s="495"/>
      <c r="AN188" s="495"/>
      <c r="AO188" s="495"/>
      <c r="AP188" s="495"/>
    </row>
    <row r="189" spans="1:42" s="434" customFormat="1">
      <c r="A189" s="561">
        <v>3</v>
      </c>
      <c r="B189" s="433" t="s">
        <v>495</v>
      </c>
      <c r="C189" s="489"/>
      <c r="D189" s="488">
        <f t="shared" si="461"/>
        <v>79490</v>
      </c>
      <c r="E189" s="495">
        <f t="shared" si="462"/>
        <v>0</v>
      </c>
      <c r="F189" s="495"/>
      <c r="G189" s="495"/>
      <c r="H189" s="495">
        <f t="shared" si="463"/>
        <v>0</v>
      </c>
      <c r="I189" s="495"/>
      <c r="J189" s="495"/>
      <c r="K189" s="489">
        <f t="shared" si="368"/>
        <v>79490</v>
      </c>
      <c r="L189" s="489">
        <f t="shared" si="369"/>
        <v>0</v>
      </c>
      <c r="M189" s="495">
        <f>79490-L189</f>
        <v>79490</v>
      </c>
      <c r="N189" s="489">
        <f t="shared" si="370"/>
        <v>0</v>
      </c>
      <c r="O189" s="489">
        <f t="shared" si="371"/>
        <v>0</v>
      </c>
      <c r="P189" s="495"/>
      <c r="Q189" s="462">
        <f t="shared" si="464"/>
        <v>0</v>
      </c>
      <c r="R189" s="462">
        <f t="shared" si="465"/>
        <v>0</v>
      </c>
      <c r="S189" s="462">
        <f t="shared" si="466"/>
        <v>0</v>
      </c>
      <c r="T189" s="462"/>
      <c r="U189" s="462"/>
      <c r="V189" s="462"/>
      <c r="W189" s="462"/>
      <c r="X189" s="462"/>
      <c r="Y189" s="462"/>
      <c r="Z189" s="462"/>
      <c r="AA189" s="462"/>
      <c r="AB189" s="462"/>
      <c r="AC189" s="462"/>
      <c r="AD189" s="462">
        <f t="shared" si="467"/>
        <v>0</v>
      </c>
      <c r="AE189" s="462">
        <f t="shared" si="468"/>
        <v>0</v>
      </c>
      <c r="AF189" s="462">
        <f t="shared" si="469"/>
        <v>0</v>
      </c>
      <c r="AG189" s="495"/>
      <c r="AH189" s="495"/>
      <c r="AI189" s="495"/>
      <c r="AJ189" s="495"/>
      <c r="AK189" s="495"/>
      <c r="AL189" s="495"/>
      <c r="AM189" s="495"/>
      <c r="AN189" s="495"/>
      <c r="AO189" s="495"/>
      <c r="AP189" s="495"/>
    </row>
    <row r="190" spans="1:42" s="434" customFormat="1">
      <c r="A190" s="561" t="s">
        <v>419</v>
      </c>
      <c r="B190" s="433" t="s">
        <v>424</v>
      </c>
      <c r="C190" s="489">
        <f>C191+C192</f>
        <v>0</v>
      </c>
      <c r="D190" s="489">
        <f t="shared" ref="D190" si="470">D191+D192</f>
        <v>102967</v>
      </c>
      <c r="E190" s="495">
        <f t="shared" ref="E190:J190" si="471">E191+E192</f>
        <v>0</v>
      </c>
      <c r="F190" s="495">
        <f t="shared" si="471"/>
        <v>0</v>
      </c>
      <c r="G190" s="495">
        <f t="shared" si="471"/>
        <v>0</v>
      </c>
      <c r="H190" s="495">
        <f t="shared" si="471"/>
        <v>0</v>
      </c>
      <c r="I190" s="495">
        <f t="shared" si="471"/>
        <v>0</v>
      </c>
      <c r="J190" s="495">
        <f t="shared" si="471"/>
        <v>0</v>
      </c>
      <c r="K190" s="489">
        <f t="shared" si="368"/>
        <v>102967</v>
      </c>
      <c r="L190" s="489">
        <f t="shared" si="369"/>
        <v>0</v>
      </c>
      <c r="M190" s="495">
        <f t="shared" ref="M190" si="472">M191+M192</f>
        <v>102967</v>
      </c>
      <c r="N190" s="489">
        <f t="shared" si="370"/>
        <v>0</v>
      </c>
      <c r="O190" s="489">
        <f t="shared" si="371"/>
        <v>0</v>
      </c>
      <c r="P190" s="495">
        <f t="shared" ref="P190" si="473">P191+P192</f>
        <v>0</v>
      </c>
      <c r="Q190" s="495">
        <f t="shared" ref="Q190:AP190" si="474">Q191+Q192</f>
        <v>0</v>
      </c>
      <c r="R190" s="495">
        <f t="shared" si="474"/>
        <v>0</v>
      </c>
      <c r="S190" s="495">
        <f t="shared" si="474"/>
        <v>0</v>
      </c>
      <c r="T190" s="495">
        <f t="shared" si="474"/>
        <v>0</v>
      </c>
      <c r="U190" s="495">
        <f t="shared" si="474"/>
        <v>0</v>
      </c>
      <c r="V190" s="495">
        <f t="shared" si="474"/>
        <v>0</v>
      </c>
      <c r="W190" s="495">
        <f t="shared" si="474"/>
        <v>0</v>
      </c>
      <c r="X190" s="495">
        <f t="shared" si="474"/>
        <v>0</v>
      </c>
      <c r="Y190" s="495">
        <f t="shared" si="474"/>
        <v>0</v>
      </c>
      <c r="Z190" s="495">
        <f t="shared" si="474"/>
        <v>0</v>
      </c>
      <c r="AA190" s="495">
        <f t="shared" si="474"/>
        <v>0</v>
      </c>
      <c r="AB190" s="495">
        <f t="shared" si="474"/>
        <v>0</v>
      </c>
      <c r="AC190" s="495">
        <f t="shared" si="474"/>
        <v>0</v>
      </c>
      <c r="AD190" s="495">
        <f t="shared" si="474"/>
        <v>0</v>
      </c>
      <c r="AE190" s="495">
        <f t="shared" si="474"/>
        <v>0</v>
      </c>
      <c r="AF190" s="495">
        <f t="shared" si="474"/>
        <v>0</v>
      </c>
      <c r="AG190" s="495">
        <f t="shared" si="474"/>
        <v>0</v>
      </c>
      <c r="AH190" s="495">
        <f t="shared" si="474"/>
        <v>0</v>
      </c>
      <c r="AI190" s="495">
        <f t="shared" si="474"/>
        <v>0</v>
      </c>
      <c r="AJ190" s="495">
        <f t="shared" si="474"/>
        <v>0</v>
      </c>
      <c r="AK190" s="495">
        <f t="shared" si="474"/>
        <v>0</v>
      </c>
      <c r="AL190" s="495">
        <f>AL191+AL192</f>
        <v>0</v>
      </c>
      <c r="AM190" s="495">
        <f t="shared" si="474"/>
        <v>0</v>
      </c>
      <c r="AN190" s="495">
        <f t="shared" si="474"/>
        <v>0</v>
      </c>
      <c r="AO190" s="495">
        <f t="shared" si="474"/>
        <v>0</v>
      </c>
      <c r="AP190" s="495">
        <f t="shared" si="474"/>
        <v>0</v>
      </c>
    </row>
    <row r="191" spans="1:42" ht="31.5">
      <c r="A191" s="431"/>
      <c r="B191" s="436" t="s">
        <v>480</v>
      </c>
      <c r="C191" s="488">
        <f t="shared" ref="C191:C196" si="475">E191+H191</f>
        <v>0</v>
      </c>
      <c r="D191" s="488">
        <f t="shared" ref="D191:D196" si="476">E191+H191+M191+P191+Q191+AD191</f>
        <v>33167</v>
      </c>
      <c r="E191" s="495">
        <f t="shared" ref="E191:E192" si="477">F191+G191</f>
        <v>0</v>
      </c>
      <c r="F191" s="495"/>
      <c r="G191" s="495"/>
      <c r="H191" s="495">
        <f t="shared" ref="H191:H192" si="478">I191+J191</f>
        <v>0</v>
      </c>
      <c r="I191" s="495"/>
      <c r="J191" s="495"/>
      <c r="K191" s="489">
        <f t="shared" si="368"/>
        <v>33167</v>
      </c>
      <c r="L191" s="489">
        <f t="shared" si="369"/>
        <v>0</v>
      </c>
      <c r="M191" s="495">
        <f>33167-L191</f>
        <v>33167</v>
      </c>
      <c r="N191" s="489">
        <f t="shared" si="370"/>
        <v>0</v>
      </c>
      <c r="O191" s="489">
        <f t="shared" si="371"/>
        <v>0</v>
      </c>
      <c r="P191" s="495"/>
      <c r="Q191" s="462">
        <f t="shared" ref="Q191:Q196" si="479">R191+S191</f>
        <v>0</v>
      </c>
      <c r="R191" s="462">
        <f t="shared" ref="R191:R196" si="480">T191+U191+V191+W191+X191+Y191+AA191</f>
        <v>0</v>
      </c>
      <c r="S191" s="462">
        <f t="shared" ref="S191:S196" si="481">AB191</f>
        <v>0</v>
      </c>
      <c r="T191" s="462"/>
      <c r="U191" s="462"/>
      <c r="V191" s="462"/>
      <c r="W191" s="462"/>
      <c r="X191" s="462"/>
      <c r="Y191" s="462"/>
      <c r="Z191" s="462"/>
      <c r="AA191" s="462"/>
      <c r="AB191" s="462"/>
      <c r="AC191" s="462"/>
      <c r="AD191" s="462">
        <f t="shared" ref="AD191:AD196" si="482">AE191+AF191</f>
        <v>0</v>
      </c>
      <c r="AE191" s="462">
        <f t="shared" ref="AE191:AE196" si="483">AG191+AH191+AI191+AJ191+AK191+AM191+AO191+AP191</f>
        <v>0</v>
      </c>
      <c r="AF191" s="462">
        <f t="shared" ref="AF191:AF196" si="484">AN191</f>
        <v>0</v>
      </c>
      <c r="AG191" s="495"/>
      <c r="AH191" s="495"/>
      <c r="AI191" s="495"/>
      <c r="AJ191" s="495"/>
      <c r="AK191" s="495"/>
      <c r="AL191" s="495"/>
      <c r="AM191" s="495"/>
      <c r="AN191" s="495"/>
      <c r="AO191" s="495"/>
      <c r="AP191" s="495"/>
    </row>
    <row r="192" spans="1:42" ht="31.5">
      <c r="A192" s="431"/>
      <c r="B192" s="436" t="s">
        <v>481</v>
      </c>
      <c r="C192" s="488">
        <f t="shared" si="475"/>
        <v>0</v>
      </c>
      <c r="D192" s="488">
        <f t="shared" si="476"/>
        <v>69800</v>
      </c>
      <c r="E192" s="495">
        <f t="shared" si="477"/>
        <v>0</v>
      </c>
      <c r="F192" s="495"/>
      <c r="G192" s="495"/>
      <c r="H192" s="495">
        <f t="shared" si="478"/>
        <v>0</v>
      </c>
      <c r="I192" s="495"/>
      <c r="J192" s="495"/>
      <c r="K192" s="489">
        <f t="shared" si="368"/>
        <v>69800</v>
      </c>
      <c r="L192" s="489">
        <f t="shared" si="369"/>
        <v>0</v>
      </c>
      <c r="M192" s="495">
        <f>69800-L192</f>
        <v>69800</v>
      </c>
      <c r="N192" s="489">
        <f t="shared" si="370"/>
        <v>0</v>
      </c>
      <c r="O192" s="489">
        <f t="shared" si="371"/>
        <v>0</v>
      </c>
      <c r="P192" s="495"/>
      <c r="Q192" s="462">
        <f t="shared" si="479"/>
        <v>0</v>
      </c>
      <c r="R192" s="462">
        <f t="shared" si="480"/>
        <v>0</v>
      </c>
      <c r="S192" s="462">
        <f t="shared" si="481"/>
        <v>0</v>
      </c>
      <c r="T192" s="462"/>
      <c r="U192" s="462"/>
      <c r="V192" s="462"/>
      <c r="W192" s="462"/>
      <c r="X192" s="462"/>
      <c r="Y192" s="462"/>
      <c r="Z192" s="462"/>
      <c r="AA192" s="462"/>
      <c r="AB192" s="462"/>
      <c r="AC192" s="462"/>
      <c r="AD192" s="462">
        <f t="shared" si="482"/>
        <v>0</v>
      </c>
      <c r="AE192" s="462">
        <f t="shared" si="483"/>
        <v>0</v>
      </c>
      <c r="AF192" s="462">
        <f t="shared" si="484"/>
        <v>0</v>
      </c>
      <c r="AG192" s="495"/>
      <c r="AH192" s="495"/>
      <c r="AI192" s="495"/>
      <c r="AJ192" s="495"/>
      <c r="AK192" s="495"/>
      <c r="AL192" s="495"/>
      <c r="AM192" s="495"/>
      <c r="AN192" s="495"/>
      <c r="AO192" s="495"/>
      <c r="AP192" s="495"/>
    </row>
    <row r="193" spans="1:42" s="434" customFormat="1" ht="78.75">
      <c r="A193" s="561" t="s">
        <v>422</v>
      </c>
      <c r="B193" s="433" t="s">
        <v>439</v>
      </c>
      <c r="C193" s="488">
        <f t="shared" si="475"/>
        <v>0</v>
      </c>
      <c r="D193" s="488">
        <f t="shared" si="476"/>
        <v>0</v>
      </c>
      <c r="E193" s="495">
        <f t="shared" si="296"/>
        <v>0</v>
      </c>
      <c r="F193" s="495"/>
      <c r="G193" s="495"/>
      <c r="H193" s="495">
        <f t="shared" si="312"/>
        <v>0</v>
      </c>
      <c r="I193" s="495"/>
      <c r="J193" s="495"/>
      <c r="K193" s="489">
        <f t="shared" si="368"/>
        <v>0</v>
      </c>
      <c r="L193" s="489">
        <f t="shared" si="369"/>
        <v>0</v>
      </c>
      <c r="M193" s="495"/>
      <c r="N193" s="489">
        <f t="shared" si="370"/>
        <v>0</v>
      </c>
      <c r="O193" s="489">
        <f t="shared" si="371"/>
        <v>0</v>
      </c>
      <c r="P193" s="495"/>
      <c r="Q193" s="462">
        <f t="shared" si="479"/>
        <v>0</v>
      </c>
      <c r="R193" s="462">
        <f t="shared" si="480"/>
        <v>0</v>
      </c>
      <c r="S193" s="462">
        <f t="shared" si="481"/>
        <v>0</v>
      </c>
      <c r="T193" s="462"/>
      <c r="U193" s="462"/>
      <c r="V193" s="462"/>
      <c r="W193" s="462"/>
      <c r="X193" s="462"/>
      <c r="Y193" s="462"/>
      <c r="Z193" s="462"/>
      <c r="AA193" s="462"/>
      <c r="AB193" s="462"/>
      <c r="AC193" s="462"/>
      <c r="AD193" s="462">
        <f t="shared" si="482"/>
        <v>0</v>
      </c>
      <c r="AE193" s="462">
        <f t="shared" si="483"/>
        <v>0</v>
      </c>
      <c r="AF193" s="462">
        <f t="shared" si="484"/>
        <v>0</v>
      </c>
      <c r="AG193" s="495"/>
      <c r="AH193" s="495"/>
      <c r="AI193" s="495"/>
      <c r="AJ193" s="495"/>
      <c r="AK193" s="495"/>
      <c r="AL193" s="495"/>
      <c r="AM193" s="495"/>
      <c r="AN193" s="495"/>
      <c r="AO193" s="495"/>
      <c r="AP193" s="495"/>
    </row>
    <row r="194" spans="1:42" s="434" customFormat="1" ht="31.5">
      <c r="A194" s="561" t="s">
        <v>423</v>
      </c>
      <c r="B194" s="433" t="s">
        <v>420</v>
      </c>
      <c r="C194" s="489">
        <f t="shared" si="475"/>
        <v>1450</v>
      </c>
      <c r="D194" s="488">
        <f t="shared" si="476"/>
        <v>1450</v>
      </c>
      <c r="E194" s="495">
        <f t="shared" si="296"/>
        <v>1450</v>
      </c>
      <c r="F194" s="495"/>
      <c r="G194" s="495">
        <v>1450</v>
      </c>
      <c r="H194" s="495">
        <f t="shared" si="312"/>
        <v>0</v>
      </c>
      <c r="I194" s="495"/>
      <c r="J194" s="495"/>
      <c r="K194" s="489">
        <f t="shared" si="368"/>
        <v>0</v>
      </c>
      <c r="L194" s="489">
        <f t="shared" si="369"/>
        <v>0</v>
      </c>
      <c r="M194" s="495"/>
      <c r="N194" s="489">
        <f t="shared" si="370"/>
        <v>0</v>
      </c>
      <c r="O194" s="489">
        <f t="shared" si="371"/>
        <v>0</v>
      </c>
      <c r="P194" s="495"/>
      <c r="Q194" s="462">
        <f t="shared" si="479"/>
        <v>0</v>
      </c>
      <c r="R194" s="462">
        <f t="shared" si="480"/>
        <v>0</v>
      </c>
      <c r="S194" s="462">
        <f t="shared" si="481"/>
        <v>0</v>
      </c>
      <c r="T194" s="462"/>
      <c r="U194" s="462"/>
      <c r="V194" s="462"/>
      <c r="W194" s="462"/>
      <c r="X194" s="462"/>
      <c r="Y194" s="462"/>
      <c r="Z194" s="462"/>
      <c r="AA194" s="462"/>
      <c r="AB194" s="462"/>
      <c r="AC194" s="462"/>
      <c r="AD194" s="462">
        <f t="shared" si="482"/>
        <v>0</v>
      </c>
      <c r="AE194" s="462">
        <f t="shared" si="483"/>
        <v>0</v>
      </c>
      <c r="AF194" s="462">
        <f t="shared" si="484"/>
        <v>0</v>
      </c>
      <c r="AG194" s="495"/>
      <c r="AH194" s="495"/>
      <c r="AI194" s="495"/>
      <c r="AJ194" s="495"/>
      <c r="AK194" s="495"/>
      <c r="AL194" s="495"/>
      <c r="AM194" s="495"/>
      <c r="AN194" s="495"/>
      <c r="AO194" s="495"/>
      <c r="AP194" s="495"/>
    </row>
    <row r="195" spans="1:42" s="434" customFormat="1" ht="78.75">
      <c r="A195" s="561" t="s">
        <v>425</v>
      </c>
      <c r="B195" s="433" t="s">
        <v>475</v>
      </c>
      <c r="C195" s="488">
        <f t="shared" si="475"/>
        <v>0</v>
      </c>
      <c r="D195" s="488">
        <f t="shared" si="476"/>
        <v>0</v>
      </c>
      <c r="E195" s="495">
        <f t="shared" si="296"/>
        <v>0</v>
      </c>
      <c r="F195" s="495"/>
      <c r="G195" s="495"/>
      <c r="H195" s="495">
        <f t="shared" si="312"/>
        <v>0</v>
      </c>
      <c r="I195" s="495"/>
      <c r="J195" s="495"/>
      <c r="K195" s="489">
        <f t="shared" si="368"/>
        <v>0</v>
      </c>
      <c r="L195" s="489">
        <f t="shared" si="369"/>
        <v>0</v>
      </c>
      <c r="M195" s="495"/>
      <c r="N195" s="489">
        <f t="shared" si="370"/>
        <v>0</v>
      </c>
      <c r="O195" s="489">
        <f t="shared" si="371"/>
        <v>0</v>
      </c>
      <c r="P195" s="495"/>
      <c r="Q195" s="462">
        <f t="shared" si="479"/>
        <v>0</v>
      </c>
      <c r="R195" s="462">
        <f t="shared" si="480"/>
        <v>0</v>
      </c>
      <c r="S195" s="462">
        <f t="shared" si="481"/>
        <v>0</v>
      </c>
      <c r="T195" s="462"/>
      <c r="U195" s="462"/>
      <c r="V195" s="462"/>
      <c r="W195" s="462"/>
      <c r="X195" s="462"/>
      <c r="Y195" s="462"/>
      <c r="Z195" s="462"/>
      <c r="AA195" s="462"/>
      <c r="AB195" s="462"/>
      <c r="AC195" s="462"/>
      <c r="AD195" s="462">
        <f t="shared" si="482"/>
        <v>0</v>
      </c>
      <c r="AE195" s="462">
        <f t="shared" si="483"/>
        <v>0</v>
      </c>
      <c r="AF195" s="462">
        <f t="shared" si="484"/>
        <v>0</v>
      </c>
      <c r="AG195" s="495"/>
      <c r="AH195" s="495"/>
      <c r="AI195" s="495"/>
      <c r="AJ195" s="495"/>
      <c r="AK195" s="495"/>
      <c r="AL195" s="495"/>
      <c r="AM195" s="495"/>
      <c r="AN195" s="495"/>
      <c r="AO195" s="495"/>
      <c r="AP195" s="495"/>
    </row>
    <row r="196" spans="1:42" s="434" customFormat="1" ht="47.25">
      <c r="A196" s="561" t="s">
        <v>460</v>
      </c>
      <c r="B196" s="433" t="s">
        <v>466</v>
      </c>
      <c r="C196" s="489">
        <f t="shared" si="475"/>
        <v>11000</v>
      </c>
      <c r="D196" s="488">
        <f t="shared" si="476"/>
        <v>13000</v>
      </c>
      <c r="E196" s="495"/>
      <c r="F196" s="495"/>
      <c r="G196" s="495"/>
      <c r="H196" s="495">
        <f t="shared" si="312"/>
        <v>11000</v>
      </c>
      <c r="I196" s="495">
        <v>11000</v>
      </c>
      <c r="J196" s="495"/>
      <c r="K196" s="489">
        <f t="shared" si="368"/>
        <v>0</v>
      </c>
      <c r="L196" s="489">
        <f t="shared" si="369"/>
        <v>0</v>
      </c>
      <c r="M196" s="495"/>
      <c r="N196" s="489">
        <f t="shared" si="370"/>
        <v>0</v>
      </c>
      <c r="O196" s="489">
        <f t="shared" si="371"/>
        <v>0</v>
      </c>
      <c r="P196" s="495"/>
      <c r="Q196" s="462">
        <f t="shared" si="479"/>
        <v>0</v>
      </c>
      <c r="R196" s="462">
        <f t="shared" si="480"/>
        <v>0</v>
      </c>
      <c r="S196" s="462">
        <f t="shared" si="481"/>
        <v>0</v>
      </c>
      <c r="T196" s="462"/>
      <c r="U196" s="462"/>
      <c r="V196" s="462"/>
      <c r="W196" s="462"/>
      <c r="X196" s="462"/>
      <c r="Y196" s="462"/>
      <c r="Z196" s="462"/>
      <c r="AA196" s="462"/>
      <c r="AB196" s="462"/>
      <c r="AC196" s="462"/>
      <c r="AD196" s="462">
        <f t="shared" si="482"/>
        <v>2000</v>
      </c>
      <c r="AE196" s="462">
        <f t="shared" si="483"/>
        <v>13000</v>
      </c>
      <c r="AF196" s="462">
        <f t="shared" si="484"/>
        <v>-11000</v>
      </c>
      <c r="AG196" s="495"/>
      <c r="AH196" s="495"/>
      <c r="AI196" s="495"/>
      <c r="AJ196" s="495"/>
      <c r="AK196" s="495"/>
      <c r="AL196" s="495">
        <f>AM196+AN196</f>
        <v>2000</v>
      </c>
      <c r="AM196" s="495">
        <v>13000</v>
      </c>
      <c r="AN196" s="495">
        <v>-11000</v>
      </c>
      <c r="AO196" s="495"/>
      <c r="AP196" s="495"/>
    </row>
    <row r="197" spans="1:42">
      <c r="A197" s="437"/>
      <c r="B197" s="438"/>
      <c r="C197" s="565"/>
      <c r="D197" s="565"/>
      <c r="E197" s="565"/>
      <c r="F197" s="565"/>
      <c r="G197" s="565"/>
      <c r="H197" s="565"/>
      <c r="I197" s="565"/>
      <c r="J197" s="565"/>
      <c r="K197" s="565"/>
      <c r="L197" s="565"/>
      <c r="M197" s="565"/>
      <c r="N197" s="565"/>
      <c r="O197" s="565"/>
      <c r="P197" s="565"/>
      <c r="Q197" s="438"/>
      <c r="R197" s="438"/>
      <c r="S197" s="438"/>
      <c r="T197" s="438"/>
      <c r="U197" s="438"/>
      <c r="V197" s="438"/>
      <c r="W197" s="438"/>
      <c r="X197" s="438"/>
      <c r="Y197" s="438"/>
      <c r="Z197" s="438"/>
      <c r="AA197" s="438"/>
      <c r="AB197" s="438"/>
      <c r="AC197" s="438"/>
      <c r="AD197" s="438"/>
      <c r="AE197" s="438"/>
      <c r="AF197" s="438"/>
      <c r="AG197" s="438"/>
      <c r="AH197" s="438"/>
      <c r="AI197" s="438"/>
      <c r="AJ197" s="438"/>
      <c r="AK197" s="438"/>
      <c r="AL197" s="438"/>
      <c r="AM197" s="438"/>
      <c r="AN197" s="438"/>
      <c r="AO197" s="438"/>
      <c r="AP197" s="438"/>
    </row>
    <row r="198" spans="1:42">
      <c r="C198" s="566"/>
      <c r="D198" s="566"/>
      <c r="E198" s="566"/>
      <c r="F198" s="566"/>
      <c r="G198" s="566"/>
      <c r="H198" s="566"/>
      <c r="I198" s="566"/>
      <c r="J198" s="566"/>
      <c r="K198" s="566"/>
      <c r="L198" s="566"/>
      <c r="M198" s="566"/>
      <c r="N198" s="566"/>
      <c r="O198" s="566"/>
      <c r="P198" s="566"/>
    </row>
    <row r="199" spans="1:42">
      <c r="C199" s="566"/>
      <c r="D199" s="566"/>
      <c r="E199" s="566"/>
      <c r="F199" s="566"/>
      <c r="G199" s="566"/>
      <c r="H199" s="566"/>
      <c r="I199" s="566"/>
      <c r="J199" s="566"/>
      <c r="K199" s="566"/>
      <c r="L199" s="566"/>
      <c r="M199" s="566"/>
      <c r="N199" s="566"/>
      <c r="O199" s="566"/>
      <c r="P199" s="566"/>
    </row>
    <row r="200" spans="1:42">
      <c r="C200" s="566"/>
      <c r="D200" s="566"/>
      <c r="E200" s="566"/>
      <c r="F200" s="566"/>
      <c r="G200" s="566"/>
      <c r="H200" s="566"/>
      <c r="I200" s="566"/>
      <c r="J200" s="566"/>
      <c r="K200" s="566"/>
      <c r="L200" s="566"/>
      <c r="M200" s="566"/>
      <c r="N200" s="566"/>
      <c r="O200" s="566"/>
      <c r="P200" s="566"/>
    </row>
    <row r="201" spans="1:42">
      <c r="C201" s="566"/>
      <c r="D201" s="566"/>
      <c r="E201" s="566"/>
      <c r="F201" s="566"/>
      <c r="G201" s="567">
        <f>G39-G40+G45-G46+G65-G66+G82-G83-G84+G96-G97+G104-G105+G112-G113+G129-G130+G143-G144-G145+G152-G153+G163-G164+G172-G173</f>
        <v>680241</v>
      </c>
      <c r="H201" s="566"/>
      <c r="I201" s="566"/>
      <c r="J201" s="566"/>
      <c r="K201" s="566"/>
      <c r="L201" s="566"/>
      <c r="M201" s="566"/>
      <c r="N201" s="566"/>
      <c r="O201" s="566"/>
      <c r="P201" s="566"/>
    </row>
    <row r="202" spans="1:42">
      <c r="C202" s="566"/>
      <c r="D202" s="566"/>
      <c r="E202" s="566"/>
      <c r="F202" s="566"/>
      <c r="G202" s="566">
        <f>G64+G81+G95+G128+G142+G161</f>
        <v>671880</v>
      </c>
      <c r="H202" s="566"/>
      <c r="I202" s="566"/>
      <c r="J202" s="566"/>
      <c r="K202" s="566"/>
      <c r="L202" s="566"/>
      <c r="M202" s="566"/>
      <c r="N202" s="566"/>
      <c r="O202" s="566"/>
      <c r="P202" s="566"/>
    </row>
    <row r="203" spans="1:42">
      <c r="C203" s="566"/>
      <c r="D203" s="566"/>
      <c r="E203" s="566"/>
      <c r="F203" s="566"/>
      <c r="G203" s="566"/>
      <c r="H203" s="566"/>
      <c r="I203" s="566"/>
      <c r="J203" s="566"/>
      <c r="K203" s="566"/>
      <c r="L203" s="566"/>
      <c r="M203" s="566"/>
      <c r="N203" s="566"/>
      <c r="O203" s="566"/>
      <c r="P203" s="566"/>
    </row>
    <row r="204" spans="1:42">
      <c r="C204" s="566"/>
      <c r="D204" s="566"/>
      <c r="E204" s="566"/>
      <c r="F204" s="566"/>
      <c r="G204" s="566"/>
      <c r="H204" s="566"/>
      <c r="I204" s="566"/>
      <c r="J204" s="566"/>
      <c r="K204" s="566"/>
      <c r="L204" s="566"/>
      <c r="M204" s="566"/>
      <c r="N204" s="566"/>
      <c r="O204" s="566"/>
      <c r="P204" s="566"/>
    </row>
    <row r="205" spans="1:42">
      <c r="C205" s="566"/>
      <c r="D205" s="566"/>
      <c r="E205" s="566"/>
      <c r="F205" s="566"/>
      <c r="G205" s="566"/>
      <c r="H205" s="566"/>
      <c r="I205" s="566"/>
      <c r="J205" s="566"/>
      <c r="K205" s="566"/>
      <c r="L205" s="566"/>
      <c r="M205" s="566"/>
      <c r="N205" s="566"/>
      <c r="O205" s="566"/>
      <c r="P205" s="566"/>
    </row>
    <row r="206" spans="1:42">
      <c r="C206" s="566"/>
      <c r="D206" s="566"/>
      <c r="E206" s="566"/>
      <c r="F206" s="566"/>
      <c r="G206" s="566"/>
      <c r="H206" s="566"/>
      <c r="I206" s="566"/>
      <c r="J206" s="566"/>
      <c r="K206" s="566"/>
      <c r="L206" s="566"/>
      <c r="M206" s="566"/>
      <c r="N206" s="566"/>
      <c r="O206" s="566"/>
      <c r="P206" s="566"/>
    </row>
    <row r="207" spans="1:42">
      <c r="C207" s="566"/>
      <c r="D207" s="566"/>
      <c r="E207" s="566"/>
      <c r="F207" s="566"/>
      <c r="G207" s="566"/>
      <c r="H207" s="566"/>
      <c r="I207" s="566"/>
      <c r="J207" s="566"/>
      <c r="K207" s="566"/>
      <c r="L207" s="566"/>
      <c r="M207" s="566"/>
      <c r="N207" s="566"/>
      <c r="O207" s="566"/>
      <c r="P207" s="566"/>
    </row>
    <row r="208" spans="1:42">
      <c r="C208" s="566"/>
      <c r="D208" s="566"/>
      <c r="E208" s="566"/>
      <c r="F208" s="566"/>
      <c r="G208" s="566"/>
      <c r="H208" s="566"/>
      <c r="I208" s="566"/>
      <c r="J208" s="566"/>
      <c r="K208" s="566"/>
      <c r="L208" s="566"/>
      <c r="M208" s="566"/>
      <c r="N208" s="566"/>
      <c r="O208" s="566"/>
      <c r="P208" s="566"/>
    </row>
    <row r="209" spans="3:16">
      <c r="C209" s="566"/>
      <c r="D209" s="566"/>
      <c r="E209" s="566"/>
      <c r="F209" s="566"/>
      <c r="G209" s="566"/>
      <c r="H209" s="566"/>
      <c r="I209" s="566"/>
      <c r="J209" s="566"/>
      <c r="K209" s="566"/>
      <c r="L209" s="566"/>
      <c r="M209" s="566"/>
      <c r="N209" s="566"/>
      <c r="O209" s="566"/>
      <c r="P209" s="566"/>
    </row>
    <row r="210" spans="3:16">
      <c r="C210" s="566"/>
      <c r="D210" s="566"/>
      <c r="E210" s="566"/>
      <c r="F210" s="566"/>
      <c r="G210" s="566"/>
      <c r="H210" s="566"/>
      <c r="I210" s="566"/>
      <c r="J210" s="566"/>
      <c r="K210" s="566"/>
      <c r="L210" s="566"/>
      <c r="M210" s="566"/>
      <c r="N210" s="566"/>
      <c r="O210" s="566"/>
      <c r="P210" s="566"/>
    </row>
    <row r="211" spans="3:16">
      <c r="C211" s="566"/>
      <c r="D211" s="566"/>
      <c r="E211" s="566"/>
      <c r="F211" s="566"/>
      <c r="G211" s="566"/>
      <c r="H211" s="566"/>
      <c r="I211" s="566"/>
      <c r="J211" s="566"/>
      <c r="K211" s="566"/>
      <c r="L211" s="566"/>
      <c r="M211" s="566"/>
      <c r="N211" s="566"/>
      <c r="O211" s="566"/>
      <c r="P211" s="566"/>
    </row>
    <row r="212" spans="3:16">
      <c r="C212" s="566"/>
      <c r="D212" s="566"/>
      <c r="E212" s="566"/>
      <c r="F212" s="566"/>
      <c r="G212" s="566"/>
      <c r="H212" s="566"/>
      <c r="I212" s="566"/>
      <c r="J212" s="566"/>
      <c r="K212" s="566"/>
      <c r="L212" s="566"/>
      <c r="M212" s="566"/>
      <c r="N212" s="566"/>
      <c r="O212" s="566"/>
      <c r="P212" s="566"/>
    </row>
    <row r="213" spans="3:16">
      <c r="C213" s="566"/>
      <c r="D213" s="566"/>
      <c r="E213" s="566"/>
      <c r="F213" s="566"/>
      <c r="G213" s="566"/>
      <c r="H213" s="566"/>
      <c r="I213" s="566"/>
      <c r="J213" s="566"/>
      <c r="K213" s="566"/>
      <c r="L213" s="566"/>
      <c r="M213" s="566"/>
      <c r="N213" s="566"/>
      <c r="O213" s="566"/>
      <c r="P213" s="566"/>
    </row>
    <row r="214" spans="3:16">
      <c r="C214" s="566"/>
      <c r="D214" s="566"/>
      <c r="E214" s="566"/>
      <c r="F214" s="566"/>
      <c r="G214" s="566"/>
      <c r="H214" s="566"/>
      <c r="I214" s="566"/>
      <c r="J214" s="566"/>
      <c r="K214" s="566"/>
      <c r="L214" s="566"/>
      <c r="M214" s="566"/>
      <c r="N214" s="566"/>
      <c r="O214" s="566"/>
      <c r="P214" s="566"/>
    </row>
    <row r="215" spans="3:16">
      <c r="C215" s="566"/>
      <c r="D215" s="566"/>
      <c r="E215" s="566"/>
      <c r="F215" s="566"/>
      <c r="G215" s="566"/>
      <c r="H215" s="566"/>
      <c r="I215" s="566"/>
      <c r="J215" s="566"/>
      <c r="K215" s="566"/>
      <c r="L215" s="566"/>
      <c r="M215" s="566"/>
      <c r="N215" s="566"/>
      <c r="O215" s="566"/>
      <c r="P215" s="566"/>
    </row>
    <row r="216" spans="3:16">
      <c r="C216" s="566"/>
      <c r="D216" s="566"/>
      <c r="E216" s="566"/>
      <c r="F216" s="566"/>
      <c r="G216" s="566"/>
      <c r="H216" s="566"/>
      <c r="I216" s="566"/>
      <c r="J216" s="566"/>
      <c r="K216" s="566"/>
      <c r="L216" s="566"/>
      <c r="M216" s="566"/>
      <c r="N216" s="566"/>
      <c r="O216" s="566"/>
      <c r="P216" s="566"/>
    </row>
    <row r="217" spans="3:16">
      <c r="C217" s="566"/>
      <c r="D217" s="566"/>
      <c r="E217" s="566"/>
      <c r="F217" s="566"/>
      <c r="G217" s="566"/>
      <c r="H217" s="566"/>
      <c r="I217" s="566"/>
      <c r="J217" s="566"/>
      <c r="K217" s="566"/>
      <c r="L217" s="566"/>
      <c r="M217" s="566"/>
      <c r="N217" s="566"/>
      <c r="O217" s="566"/>
      <c r="P217" s="566"/>
    </row>
    <row r="218" spans="3:16">
      <c r="C218" s="566"/>
      <c r="D218" s="566"/>
      <c r="E218" s="566"/>
      <c r="F218" s="566"/>
      <c r="G218" s="566"/>
      <c r="H218" s="566"/>
      <c r="I218" s="566"/>
      <c r="J218" s="566"/>
      <c r="K218" s="566"/>
      <c r="L218" s="566"/>
      <c r="M218" s="566"/>
      <c r="N218" s="566"/>
      <c r="O218" s="566"/>
      <c r="P218" s="566"/>
    </row>
    <row r="219" spans="3:16">
      <c r="C219" s="566"/>
      <c r="D219" s="566"/>
      <c r="E219" s="566"/>
      <c r="F219" s="566"/>
      <c r="G219" s="566"/>
      <c r="H219" s="566"/>
      <c r="I219" s="566"/>
      <c r="J219" s="566"/>
      <c r="K219" s="566"/>
      <c r="L219" s="566"/>
      <c r="M219" s="566"/>
      <c r="N219" s="566"/>
      <c r="O219" s="566"/>
      <c r="P219" s="566"/>
    </row>
    <row r="220" spans="3:16">
      <c r="C220" s="566"/>
      <c r="D220" s="566"/>
      <c r="E220" s="566"/>
      <c r="F220" s="566"/>
      <c r="G220" s="566"/>
      <c r="H220" s="566"/>
      <c r="I220" s="566"/>
      <c r="J220" s="566"/>
      <c r="K220" s="566"/>
      <c r="L220" s="566"/>
      <c r="M220" s="566"/>
      <c r="N220" s="566"/>
      <c r="O220" s="566"/>
      <c r="P220" s="566"/>
    </row>
    <row r="221" spans="3:16">
      <c r="C221" s="566"/>
      <c r="D221" s="566"/>
      <c r="E221" s="566"/>
      <c r="F221" s="566"/>
      <c r="G221" s="566"/>
      <c r="H221" s="566"/>
      <c r="I221" s="566"/>
      <c r="J221" s="566"/>
      <c r="K221" s="566"/>
      <c r="L221" s="566"/>
      <c r="M221" s="566"/>
      <c r="N221" s="566"/>
      <c r="O221" s="566"/>
      <c r="P221" s="566"/>
    </row>
    <row r="222" spans="3:16">
      <c r="C222" s="566"/>
      <c r="D222" s="566"/>
      <c r="E222" s="566"/>
      <c r="F222" s="566"/>
      <c r="G222" s="566"/>
      <c r="H222" s="566"/>
      <c r="I222" s="566"/>
      <c r="J222" s="566"/>
      <c r="K222" s="566"/>
      <c r="L222" s="566"/>
      <c r="M222" s="566"/>
      <c r="N222" s="566"/>
      <c r="O222" s="566"/>
      <c r="P222" s="566"/>
    </row>
    <row r="223" spans="3:16">
      <c r="C223" s="566"/>
      <c r="D223" s="566"/>
      <c r="E223" s="566"/>
      <c r="F223" s="566"/>
      <c r="G223" s="566"/>
      <c r="H223" s="566"/>
      <c r="I223" s="566"/>
      <c r="J223" s="566"/>
      <c r="K223" s="566"/>
      <c r="L223" s="566"/>
      <c r="M223" s="566"/>
      <c r="N223" s="566"/>
      <c r="O223" s="566"/>
      <c r="P223" s="566"/>
    </row>
    <row r="224" spans="3:16">
      <c r="C224" s="566"/>
      <c r="D224" s="566"/>
      <c r="E224" s="566"/>
      <c r="F224" s="566"/>
      <c r="G224" s="566"/>
      <c r="H224" s="566"/>
      <c r="I224" s="566"/>
      <c r="J224" s="566"/>
      <c r="K224" s="566"/>
      <c r="L224" s="566"/>
      <c r="M224" s="566"/>
      <c r="N224" s="566"/>
      <c r="O224" s="566"/>
      <c r="P224" s="566"/>
    </row>
    <row r="225" spans="3:16">
      <c r="C225" s="566"/>
      <c r="D225" s="566"/>
      <c r="E225" s="566"/>
      <c r="F225" s="566"/>
      <c r="G225" s="566"/>
      <c r="H225" s="566"/>
      <c r="I225" s="566"/>
      <c r="J225" s="566"/>
      <c r="K225" s="566"/>
      <c r="L225" s="566"/>
      <c r="M225" s="566"/>
      <c r="N225" s="566"/>
      <c r="O225" s="566"/>
      <c r="P225" s="566"/>
    </row>
    <row r="226" spans="3:16">
      <c r="C226" s="566"/>
      <c r="D226" s="566"/>
      <c r="E226" s="566"/>
      <c r="F226" s="566"/>
      <c r="G226" s="566"/>
      <c r="H226" s="566"/>
      <c r="I226" s="566"/>
      <c r="J226" s="566"/>
      <c r="K226" s="566"/>
      <c r="L226" s="566"/>
      <c r="M226" s="566"/>
      <c r="N226" s="566"/>
      <c r="O226" s="566"/>
      <c r="P226" s="566"/>
    </row>
    <row r="227" spans="3:16">
      <c r="C227" s="566"/>
      <c r="D227" s="566"/>
      <c r="E227" s="566"/>
      <c r="F227" s="566"/>
      <c r="G227" s="566"/>
      <c r="H227" s="566"/>
      <c r="I227" s="566"/>
      <c r="J227" s="566"/>
      <c r="K227" s="566"/>
      <c r="L227" s="566"/>
      <c r="M227" s="566"/>
      <c r="N227" s="566"/>
      <c r="O227" s="566"/>
      <c r="P227" s="566"/>
    </row>
    <row r="228" spans="3:16">
      <c r="C228" s="566"/>
      <c r="D228" s="566"/>
      <c r="E228" s="566"/>
      <c r="F228" s="566"/>
      <c r="G228" s="566"/>
      <c r="H228" s="566"/>
      <c r="I228" s="566"/>
      <c r="J228" s="566"/>
      <c r="K228" s="566"/>
      <c r="L228" s="566"/>
      <c r="M228" s="566"/>
      <c r="N228" s="566"/>
      <c r="O228" s="566"/>
      <c r="P228" s="566"/>
    </row>
    <row r="229" spans="3:16">
      <c r="C229" s="566"/>
      <c r="D229" s="566"/>
      <c r="E229" s="566"/>
      <c r="F229" s="566"/>
      <c r="G229" s="566"/>
      <c r="H229" s="566"/>
      <c r="I229" s="566"/>
      <c r="J229" s="566"/>
      <c r="K229" s="566"/>
      <c r="L229" s="566"/>
      <c r="M229" s="566"/>
      <c r="N229" s="566"/>
      <c r="O229" s="566"/>
      <c r="P229" s="566"/>
    </row>
    <row r="230" spans="3:16">
      <c r="C230" s="566"/>
      <c r="D230" s="566"/>
      <c r="E230" s="566"/>
      <c r="F230" s="566"/>
      <c r="G230" s="566"/>
      <c r="H230" s="566"/>
      <c r="I230" s="566"/>
      <c r="J230" s="566"/>
      <c r="K230" s="566"/>
      <c r="L230" s="566"/>
      <c r="M230" s="566"/>
      <c r="N230" s="566"/>
      <c r="O230" s="566"/>
      <c r="P230" s="566"/>
    </row>
    <row r="231" spans="3:16">
      <c r="C231" s="566"/>
      <c r="D231" s="566"/>
      <c r="E231" s="566"/>
      <c r="F231" s="566"/>
      <c r="G231" s="566"/>
      <c r="H231" s="566"/>
      <c r="I231" s="566"/>
      <c r="J231" s="566"/>
      <c r="K231" s="566"/>
      <c r="L231" s="566"/>
      <c r="M231" s="566"/>
      <c r="N231" s="566"/>
      <c r="O231" s="566"/>
      <c r="P231" s="566"/>
    </row>
    <row r="232" spans="3:16">
      <c r="C232" s="566"/>
      <c r="D232" s="566"/>
      <c r="E232" s="566"/>
      <c r="F232" s="566"/>
      <c r="G232" s="566"/>
      <c r="H232" s="566"/>
      <c r="I232" s="566"/>
      <c r="J232" s="566"/>
      <c r="K232" s="566"/>
      <c r="L232" s="566"/>
      <c r="M232" s="566"/>
      <c r="N232" s="566"/>
      <c r="O232" s="566"/>
      <c r="P232" s="566"/>
    </row>
    <row r="233" spans="3:16">
      <c r="C233" s="566"/>
      <c r="D233" s="566"/>
      <c r="E233" s="566"/>
      <c r="F233" s="566"/>
      <c r="G233" s="566"/>
      <c r="H233" s="566"/>
      <c r="I233" s="566"/>
      <c r="J233" s="566"/>
      <c r="K233" s="566"/>
      <c r="L233" s="566"/>
      <c r="M233" s="566"/>
      <c r="N233" s="566"/>
      <c r="O233" s="566"/>
      <c r="P233" s="566"/>
    </row>
    <row r="234" spans="3:16">
      <c r="C234" s="566"/>
      <c r="D234" s="566"/>
      <c r="E234" s="566"/>
      <c r="F234" s="566"/>
      <c r="G234" s="566"/>
      <c r="H234" s="566"/>
      <c r="I234" s="566"/>
      <c r="J234" s="566"/>
      <c r="K234" s="566"/>
      <c r="L234" s="566"/>
      <c r="M234" s="566"/>
      <c r="N234" s="566"/>
      <c r="O234" s="566"/>
      <c r="P234" s="566"/>
    </row>
    <row r="235" spans="3:16">
      <c r="C235" s="566"/>
      <c r="D235" s="566"/>
      <c r="E235" s="566"/>
      <c r="F235" s="566"/>
      <c r="G235" s="566"/>
      <c r="H235" s="566"/>
      <c r="I235" s="566"/>
      <c r="J235" s="566"/>
      <c r="K235" s="566"/>
      <c r="L235" s="566"/>
      <c r="M235" s="566"/>
      <c r="N235" s="566"/>
      <c r="O235" s="566"/>
      <c r="P235" s="566"/>
    </row>
    <row r="236" spans="3:16">
      <c r="C236" s="566"/>
      <c r="D236" s="566"/>
      <c r="E236" s="566"/>
      <c r="F236" s="566"/>
      <c r="G236" s="566"/>
      <c r="H236" s="566"/>
      <c r="I236" s="566"/>
      <c r="J236" s="566"/>
      <c r="K236" s="566"/>
      <c r="L236" s="566"/>
      <c r="M236" s="566"/>
      <c r="N236" s="566"/>
      <c r="O236" s="566"/>
      <c r="P236" s="566"/>
    </row>
    <row r="237" spans="3:16">
      <c r="C237" s="566"/>
      <c r="D237" s="566"/>
      <c r="E237" s="566"/>
      <c r="F237" s="566"/>
      <c r="G237" s="566"/>
      <c r="H237" s="566"/>
      <c r="I237" s="566"/>
      <c r="J237" s="566"/>
      <c r="K237" s="566"/>
      <c r="L237" s="566"/>
      <c r="M237" s="566"/>
      <c r="N237" s="566"/>
      <c r="O237" s="566"/>
      <c r="P237" s="566"/>
    </row>
    <row r="238" spans="3:16">
      <c r="C238" s="566"/>
      <c r="D238" s="566"/>
      <c r="E238" s="566"/>
      <c r="F238" s="566"/>
      <c r="G238" s="566"/>
      <c r="H238" s="566"/>
      <c r="I238" s="566"/>
      <c r="J238" s="566"/>
      <c r="K238" s="566"/>
      <c r="L238" s="566"/>
      <c r="M238" s="566"/>
      <c r="N238" s="566"/>
      <c r="O238" s="566"/>
      <c r="P238" s="566"/>
    </row>
    <row r="239" spans="3:16">
      <c r="C239" s="566"/>
      <c r="D239" s="566"/>
      <c r="E239" s="566"/>
      <c r="F239" s="566"/>
      <c r="G239" s="566"/>
      <c r="H239" s="566"/>
      <c r="I239" s="566"/>
      <c r="J239" s="566"/>
      <c r="K239" s="566"/>
      <c r="L239" s="566"/>
      <c r="M239" s="566"/>
      <c r="N239" s="566"/>
      <c r="O239" s="566"/>
      <c r="P239" s="566"/>
    </row>
    <row r="240" spans="3:16">
      <c r="C240" s="566"/>
      <c r="D240" s="566"/>
      <c r="E240" s="566"/>
      <c r="F240" s="566"/>
      <c r="G240" s="566"/>
      <c r="H240" s="566"/>
      <c r="I240" s="566"/>
      <c r="J240" s="566"/>
      <c r="K240" s="566"/>
      <c r="L240" s="566"/>
      <c r="M240" s="566"/>
      <c r="N240" s="566"/>
      <c r="O240" s="566"/>
      <c r="P240" s="566"/>
    </row>
    <row r="241" spans="3:16">
      <c r="C241" s="566"/>
      <c r="D241" s="566"/>
      <c r="E241" s="566"/>
      <c r="F241" s="566"/>
      <c r="G241" s="566"/>
      <c r="H241" s="566"/>
      <c r="I241" s="566"/>
      <c r="J241" s="566"/>
      <c r="K241" s="566"/>
      <c r="L241" s="566"/>
      <c r="M241" s="566"/>
      <c r="N241" s="566"/>
      <c r="O241" s="566"/>
      <c r="P241" s="566"/>
    </row>
    <row r="242" spans="3:16">
      <c r="C242" s="566"/>
      <c r="D242" s="566"/>
      <c r="E242" s="566"/>
      <c r="F242" s="566"/>
      <c r="G242" s="566"/>
      <c r="H242" s="566"/>
      <c r="I242" s="566"/>
      <c r="J242" s="566"/>
      <c r="K242" s="566"/>
      <c r="L242" s="566"/>
      <c r="M242" s="566"/>
      <c r="N242" s="566"/>
      <c r="O242" s="566"/>
      <c r="P242" s="566"/>
    </row>
    <row r="243" spans="3:16">
      <c r="C243" s="566"/>
      <c r="D243" s="566"/>
      <c r="E243" s="566"/>
      <c r="F243" s="566"/>
      <c r="G243" s="566"/>
      <c r="H243" s="566"/>
      <c r="I243" s="566"/>
      <c r="J243" s="566"/>
      <c r="K243" s="566"/>
      <c r="L243" s="566"/>
      <c r="M243" s="566"/>
      <c r="N243" s="566"/>
      <c r="O243" s="566"/>
      <c r="P243" s="566"/>
    </row>
    <row r="244" spans="3:16">
      <c r="C244" s="566"/>
      <c r="D244" s="566"/>
      <c r="E244" s="566"/>
      <c r="F244" s="566"/>
      <c r="G244" s="566"/>
      <c r="H244" s="566"/>
      <c r="I244" s="566"/>
      <c r="J244" s="566"/>
      <c r="K244" s="566"/>
      <c r="L244" s="566"/>
      <c r="M244" s="566"/>
      <c r="N244" s="566"/>
      <c r="O244" s="566"/>
      <c r="P244" s="566"/>
    </row>
    <row r="245" spans="3:16">
      <c r="C245" s="566"/>
      <c r="D245" s="566"/>
      <c r="E245" s="566"/>
      <c r="F245" s="566"/>
      <c r="G245" s="566"/>
      <c r="H245" s="566"/>
      <c r="I245" s="566"/>
      <c r="J245" s="566"/>
      <c r="K245" s="566"/>
      <c r="L245" s="566"/>
      <c r="M245" s="566"/>
      <c r="N245" s="566"/>
      <c r="O245" s="566"/>
      <c r="P245" s="566"/>
    </row>
    <row r="246" spans="3:16">
      <c r="C246" s="566"/>
      <c r="D246" s="566"/>
      <c r="E246" s="566"/>
      <c r="F246" s="566"/>
      <c r="G246" s="566"/>
      <c r="H246" s="566"/>
      <c r="I246" s="566"/>
      <c r="J246" s="566"/>
      <c r="K246" s="566"/>
      <c r="L246" s="566"/>
      <c r="M246" s="566"/>
      <c r="N246" s="566"/>
      <c r="O246" s="566"/>
      <c r="P246" s="566"/>
    </row>
    <row r="247" spans="3:16">
      <c r="C247" s="566"/>
      <c r="D247" s="566"/>
      <c r="E247" s="566"/>
      <c r="F247" s="566"/>
      <c r="G247" s="566"/>
      <c r="H247" s="566"/>
      <c r="I247" s="566"/>
      <c r="J247" s="566"/>
      <c r="K247" s="566"/>
      <c r="L247" s="566"/>
      <c r="M247" s="566"/>
      <c r="N247" s="566"/>
      <c r="O247" s="566"/>
      <c r="P247" s="566"/>
    </row>
    <row r="248" spans="3:16">
      <c r="C248" s="566"/>
      <c r="D248" s="566"/>
      <c r="E248" s="566"/>
      <c r="F248" s="566"/>
      <c r="G248" s="566"/>
      <c r="H248" s="566"/>
      <c r="I248" s="566"/>
      <c r="J248" s="566"/>
      <c r="K248" s="566"/>
      <c r="L248" s="566"/>
      <c r="M248" s="566"/>
      <c r="N248" s="566"/>
      <c r="O248" s="566"/>
      <c r="P248" s="566"/>
    </row>
    <row r="249" spans="3:16">
      <c r="C249" s="566"/>
      <c r="D249" s="566"/>
      <c r="E249" s="566"/>
      <c r="F249" s="566"/>
      <c r="G249" s="566"/>
      <c r="H249" s="566"/>
      <c r="I249" s="566"/>
      <c r="J249" s="566"/>
      <c r="K249" s="566"/>
      <c r="L249" s="566"/>
      <c r="M249" s="566"/>
      <c r="N249" s="566"/>
      <c r="O249" s="566"/>
      <c r="P249" s="566"/>
    </row>
  </sheetData>
  <mergeCells count="46">
    <mergeCell ref="AR3:AT6"/>
    <mergeCell ref="A32:A33"/>
    <mergeCell ref="H6:H7"/>
    <mergeCell ref="I6:I7"/>
    <mergeCell ref="J6:J7"/>
    <mergeCell ref="AK5:AK7"/>
    <mergeCell ref="U5:U7"/>
    <mergeCell ref="V5:V7"/>
    <mergeCell ref="W5:W7"/>
    <mergeCell ref="AH5:AH7"/>
    <mergeCell ref="AI5:AI7"/>
    <mergeCell ref="AJ5:AJ7"/>
    <mergeCell ref="D3:D7"/>
    <mergeCell ref="K3:K7"/>
    <mergeCell ref="N3:N7"/>
    <mergeCell ref="L3:M6"/>
    <mergeCell ref="A3:A7"/>
    <mergeCell ref="B3:B7"/>
    <mergeCell ref="A1:J1"/>
    <mergeCell ref="E3:J3"/>
    <mergeCell ref="H4:J5"/>
    <mergeCell ref="E6:E7"/>
    <mergeCell ref="F6:F7"/>
    <mergeCell ref="G6:G7"/>
    <mergeCell ref="E4:G5"/>
    <mergeCell ref="C3:C7"/>
    <mergeCell ref="Q3:Q7"/>
    <mergeCell ref="R3:S4"/>
    <mergeCell ref="R5:R7"/>
    <mergeCell ref="S5:S7"/>
    <mergeCell ref="O3:P6"/>
    <mergeCell ref="AG3:AP4"/>
    <mergeCell ref="AG5:AG7"/>
    <mergeCell ref="T3:AC4"/>
    <mergeCell ref="T5:T7"/>
    <mergeCell ref="AO5:AO7"/>
    <mergeCell ref="AP5:AP7"/>
    <mergeCell ref="AD3:AD7"/>
    <mergeCell ref="AE3:AF6"/>
    <mergeCell ref="AL5:AL7"/>
    <mergeCell ref="AM5:AN6"/>
    <mergeCell ref="X5:X7"/>
    <mergeCell ref="AC5:AC7"/>
    <mergeCell ref="Y5:Y7"/>
    <mergeCell ref="Z5:Z7"/>
    <mergeCell ref="AA5:AB6"/>
  </mergeCells>
  <pageMargins left="0.19685039370078741" right="0" top="0.35433070866141736" bottom="0.19685039370078741" header="0.31496062992125984" footer="0.31496062992125984"/>
  <pageSetup paperSize="9" scale="65" orientation="landscape" verticalDpi="0"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68"/>
  <sheetViews>
    <sheetView topLeftCell="A3" workbookViewId="0">
      <pane xSplit="2" ySplit="5" topLeftCell="P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573" bestFit="1" customWidth="1"/>
    <col min="2" max="2" width="34.28515625" style="420" customWidth="1"/>
    <col min="3" max="4" width="14.140625" style="420" hidden="1" customWidth="1"/>
    <col min="5" max="6" width="14.140625" style="420" customWidth="1"/>
    <col min="7" max="7" width="14.140625" style="579" customWidth="1"/>
    <col min="8" max="12" width="14.140625" style="420" customWidth="1"/>
    <col min="13" max="13" width="13" style="420" customWidth="1"/>
    <col min="14" max="14" width="13" style="579" customWidth="1"/>
    <col min="15" max="18" width="13" style="420" customWidth="1"/>
    <col min="19" max="24" width="13" style="579" customWidth="1"/>
    <col min="25" max="25" width="10.28515625" style="420" bestFit="1" customWidth="1"/>
    <col min="26" max="26" width="10.7109375" style="420" bestFit="1" customWidth="1"/>
    <col min="27" max="16384" width="9.140625" style="420"/>
  </cols>
  <sheetData>
    <row r="1" spans="1:26" ht="22.5" customHeight="1">
      <c r="A1" s="1095" t="s">
        <v>473</v>
      </c>
      <c r="B1" s="1095"/>
      <c r="C1" s="1095"/>
      <c r="D1" s="1095"/>
      <c r="E1" s="1095"/>
      <c r="F1" s="1095"/>
      <c r="G1" s="1095"/>
      <c r="H1" s="1095"/>
      <c r="I1" s="1095"/>
      <c r="J1" s="1095"/>
      <c r="K1" s="1095"/>
      <c r="L1" s="1095"/>
      <c r="M1" s="1095"/>
      <c r="N1" s="1095"/>
      <c r="O1" s="1095"/>
      <c r="P1" s="1095"/>
      <c r="Q1" s="1095"/>
      <c r="R1" s="1095"/>
      <c r="S1" s="539"/>
      <c r="T1" s="539"/>
      <c r="U1" s="539"/>
      <c r="V1" s="539"/>
      <c r="W1" s="539"/>
      <c r="X1" s="539"/>
    </row>
    <row r="2" spans="1:26">
      <c r="B2" s="422"/>
      <c r="C2" s="422"/>
      <c r="D2" s="422"/>
      <c r="E2" s="422"/>
      <c r="F2" s="422"/>
      <c r="G2" s="575"/>
      <c r="H2" s="422"/>
      <c r="I2" s="422"/>
      <c r="J2" s="422"/>
      <c r="K2" s="422"/>
      <c r="L2" s="422"/>
      <c r="M2" s="422"/>
      <c r="N2" s="575"/>
      <c r="O2" s="422"/>
      <c r="P2" s="422"/>
      <c r="Q2" s="422"/>
      <c r="R2" s="422"/>
      <c r="S2" s="575"/>
      <c r="T2" s="575"/>
      <c r="U2" s="575"/>
      <c r="V2" s="575"/>
      <c r="W2" s="575"/>
      <c r="X2" s="575"/>
    </row>
    <row r="3" spans="1:26" ht="16.5" customHeight="1">
      <c r="A3" s="1093" t="s">
        <v>378</v>
      </c>
      <c r="B3" s="1093" t="s">
        <v>379</v>
      </c>
      <c r="C3" s="1101" t="s">
        <v>518</v>
      </c>
      <c r="D3" s="574"/>
      <c r="E3" s="1101" t="s">
        <v>519</v>
      </c>
      <c r="F3" s="1097" t="s">
        <v>520</v>
      </c>
      <c r="G3" s="1097"/>
      <c r="H3" s="1097"/>
      <c r="I3" s="1097"/>
      <c r="J3" s="1097"/>
      <c r="K3" s="1097"/>
      <c r="L3" s="1097"/>
      <c r="M3" s="1097"/>
      <c r="N3" s="1097"/>
      <c r="O3" s="1097"/>
      <c r="P3" s="1097"/>
      <c r="Q3" s="1097"/>
      <c r="R3" s="1097"/>
      <c r="S3" s="1117" t="s">
        <v>521</v>
      </c>
      <c r="T3" s="1117" t="s">
        <v>471</v>
      </c>
      <c r="U3" s="1117"/>
      <c r="V3" s="1117" t="s">
        <v>524</v>
      </c>
      <c r="W3" s="1117" t="s">
        <v>471</v>
      </c>
      <c r="X3" s="1117"/>
    </row>
    <row r="4" spans="1:26" ht="21.75" customHeight="1">
      <c r="A4" s="1093"/>
      <c r="B4" s="1093"/>
      <c r="C4" s="1102"/>
      <c r="D4" s="630"/>
      <c r="E4" s="1102"/>
      <c r="F4" s="1109" t="s">
        <v>381</v>
      </c>
      <c r="G4" s="1110"/>
      <c r="H4" s="1110"/>
      <c r="I4" s="1110"/>
      <c r="J4" s="1110"/>
      <c r="K4" s="1110"/>
      <c r="L4" s="1111"/>
      <c r="M4" s="1092" t="s">
        <v>382</v>
      </c>
      <c r="N4" s="1092"/>
      <c r="O4" s="1092"/>
      <c r="P4" s="1092"/>
      <c r="Q4" s="1092"/>
      <c r="R4" s="1092"/>
      <c r="S4" s="1117"/>
      <c r="T4" s="1117"/>
      <c r="U4" s="1117"/>
      <c r="V4" s="1117"/>
      <c r="W4" s="1117"/>
      <c r="X4" s="1117"/>
    </row>
    <row r="5" spans="1:26" ht="36" customHeight="1">
      <c r="A5" s="1093"/>
      <c r="B5" s="1093"/>
      <c r="C5" s="1102"/>
      <c r="D5" s="630">
        <f>430118+360500+606500+146382+146380+281040</f>
        <v>1970920</v>
      </c>
      <c r="E5" s="1102"/>
      <c r="F5" s="1112"/>
      <c r="G5" s="1113"/>
      <c r="H5" s="1113"/>
      <c r="I5" s="1113"/>
      <c r="J5" s="1113"/>
      <c r="K5" s="1113"/>
      <c r="L5" s="1114"/>
      <c r="M5" s="1092"/>
      <c r="N5" s="1092"/>
      <c r="O5" s="1092"/>
      <c r="P5" s="1092"/>
      <c r="Q5" s="1092"/>
      <c r="R5" s="1092"/>
      <c r="S5" s="1117"/>
      <c r="T5" s="1117"/>
      <c r="U5" s="1117"/>
      <c r="V5" s="1117"/>
      <c r="W5" s="1117"/>
      <c r="X5" s="1117"/>
    </row>
    <row r="6" spans="1:26" ht="18.75" customHeight="1">
      <c r="A6" s="1093"/>
      <c r="B6" s="1093"/>
      <c r="C6" s="1102"/>
      <c r="D6" s="630">
        <f>C8+D5+S8+V8</f>
        <v>17508393</v>
      </c>
      <c r="E6" s="1102"/>
      <c r="F6" s="1092" t="s">
        <v>405</v>
      </c>
      <c r="G6" s="1116" t="s">
        <v>403</v>
      </c>
      <c r="H6" s="1092" t="s">
        <v>534</v>
      </c>
      <c r="I6" s="1092" t="s">
        <v>513</v>
      </c>
      <c r="J6" s="1092" t="s">
        <v>463</v>
      </c>
      <c r="K6" s="1092" t="s">
        <v>499</v>
      </c>
      <c r="L6" s="1092" t="s">
        <v>402</v>
      </c>
      <c r="M6" s="1092" t="s">
        <v>405</v>
      </c>
      <c r="N6" s="1116" t="s">
        <v>500</v>
      </c>
      <c r="O6" s="1092" t="s">
        <v>767</v>
      </c>
      <c r="P6" s="1092" t="s">
        <v>463</v>
      </c>
      <c r="Q6" s="1092" t="s">
        <v>499</v>
      </c>
      <c r="R6" s="1116" t="s">
        <v>661</v>
      </c>
      <c r="S6" s="1117"/>
      <c r="T6" s="1117"/>
      <c r="U6" s="1117"/>
      <c r="V6" s="1117"/>
      <c r="W6" s="1117"/>
      <c r="X6" s="1117"/>
    </row>
    <row r="7" spans="1:26" ht="49.5" customHeight="1">
      <c r="A7" s="1093"/>
      <c r="B7" s="1093"/>
      <c r="C7" s="1103"/>
      <c r="D7" s="674">
        <f>E8-D5</f>
        <v>18096950</v>
      </c>
      <c r="E7" s="1103"/>
      <c r="F7" s="1092"/>
      <c r="G7" s="1116"/>
      <c r="H7" s="1092"/>
      <c r="I7" s="1092"/>
      <c r="J7" s="1092"/>
      <c r="K7" s="1092"/>
      <c r="L7" s="1092"/>
      <c r="M7" s="1092"/>
      <c r="N7" s="1116"/>
      <c r="O7" s="1092"/>
      <c r="P7" s="1092"/>
      <c r="Q7" s="1092"/>
      <c r="R7" s="1116"/>
      <c r="S7" s="1117"/>
      <c r="T7" s="576" t="s">
        <v>403</v>
      </c>
      <c r="U7" s="576" t="s">
        <v>522</v>
      </c>
      <c r="V7" s="1117"/>
      <c r="W7" s="576" t="s">
        <v>403</v>
      </c>
      <c r="X7" s="576" t="s">
        <v>522</v>
      </c>
    </row>
    <row r="8" spans="1:26" ht="18.75" customHeight="1">
      <c r="A8" s="569"/>
      <c r="B8" s="537" t="s">
        <v>384</v>
      </c>
      <c r="C8" s="545">
        <f>C9+C32+C175+C176+C191+C194+C213+C214+C215</f>
        <v>11757974</v>
      </c>
      <c r="D8" s="545">
        <f>E8+'Bieu 17'!D47</f>
        <v>23100332</v>
      </c>
      <c r="E8" s="545">
        <f>E9+E32+E175+E176+E191+E194+E213+E214+E215</f>
        <v>20067870</v>
      </c>
      <c r="F8" s="545">
        <f>SUM(G8:L8)</f>
        <v>11496917</v>
      </c>
      <c r="G8" s="572">
        <f t="shared" ref="G8:L8" si="0">G9+G32+G175+G176+G191+G194+G213+G214+G215</f>
        <v>2533774</v>
      </c>
      <c r="H8" s="545">
        <f t="shared" si="0"/>
        <v>0</v>
      </c>
      <c r="I8" s="545">
        <f t="shared" si="0"/>
        <v>0</v>
      </c>
      <c r="J8" s="545">
        <f t="shared" si="0"/>
        <v>94070</v>
      </c>
      <c r="K8" s="545">
        <f t="shared" si="0"/>
        <v>85822</v>
      </c>
      <c r="L8" s="545">
        <f t="shared" si="0"/>
        <v>8783251</v>
      </c>
      <c r="M8" s="545">
        <f>SUM(N8:R8)</f>
        <v>8570953</v>
      </c>
      <c r="N8" s="572">
        <f t="shared" ref="N8:X8" si="1">N9+N32+N175+N176+N191+N194+N213+N214+N215</f>
        <v>6704240</v>
      </c>
      <c r="O8" s="545">
        <f t="shared" si="1"/>
        <v>123100</v>
      </c>
      <c r="P8" s="545">
        <f t="shared" si="1"/>
        <v>171633</v>
      </c>
      <c r="Q8" s="545">
        <f t="shared" si="1"/>
        <v>74545</v>
      </c>
      <c r="R8" s="545">
        <f t="shared" si="1"/>
        <v>1497435</v>
      </c>
      <c r="S8" s="572">
        <f t="shared" si="1"/>
        <v>2464674</v>
      </c>
      <c r="T8" s="572">
        <f t="shared" si="1"/>
        <v>123100</v>
      </c>
      <c r="U8" s="572">
        <f t="shared" si="1"/>
        <v>2341574</v>
      </c>
      <c r="V8" s="572">
        <f t="shared" si="1"/>
        <v>1314825</v>
      </c>
      <c r="W8" s="572">
        <f t="shared" si="1"/>
        <v>265703</v>
      </c>
      <c r="X8" s="572">
        <f t="shared" si="1"/>
        <v>1049122</v>
      </c>
      <c r="Y8" s="420">
        <v>1614825</v>
      </c>
      <c r="Z8" s="500">
        <f>Y8-V8</f>
        <v>300000</v>
      </c>
    </row>
    <row r="9" spans="1:26" ht="20.25" customHeight="1">
      <c r="A9" s="568" t="s">
        <v>17</v>
      </c>
      <c r="B9" s="429" t="s">
        <v>385</v>
      </c>
      <c r="C9" s="489">
        <f>C10+C25+C26+C27+C30+C31</f>
        <v>874680</v>
      </c>
      <c r="D9" s="489"/>
      <c r="E9" s="489">
        <f>F9+M9</f>
        <v>4657069</v>
      </c>
      <c r="F9" s="495">
        <f>SUM(G9:L9)</f>
        <v>3194881</v>
      </c>
      <c r="G9" s="549">
        <f>G10+G25+G26+G31+G27+G30</f>
        <v>84000</v>
      </c>
      <c r="H9" s="495">
        <f t="shared" ref="H9:K9" si="2">H10+H25+H26+H31+H27+H30</f>
        <v>0</v>
      </c>
      <c r="I9" s="495">
        <f t="shared" ref="I9" si="3">I10+I25+I26+I31+I27+I30</f>
        <v>0</v>
      </c>
      <c r="J9" s="495">
        <f t="shared" ref="J9" si="4">J10+J25+J26+J31+J27+J30</f>
        <v>44000</v>
      </c>
      <c r="K9" s="495">
        <f t="shared" si="2"/>
        <v>0</v>
      </c>
      <c r="L9" s="495">
        <f>L10+L25+L26+L31+L27+L30</f>
        <v>3066881</v>
      </c>
      <c r="M9" s="495">
        <f>SUM(N9:R9)</f>
        <v>1462188</v>
      </c>
      <c r="N9" s="549">
        <f>N10+N25+N26+N31+N27+N30</f>
        <v>330000</v>
      </c>
      <c r="O9" s="495">
        <f t="shared" ref="O9" si="5">O10+O25+O26+O31+O27+O30</f>
        <v>123100</v>
      </c>
      <c r="P9" s="495">
        <f t="shared" ref="P9" si="6">P10+P25+P26+P31+P27+P30</f>
        <v>0</v>
      </c>
      <c r="Q9" s="495">
        <f>Q10+Q25+Q26+Q31+Q27+Q30</f>
        <v>0</v>
      </c>
      <c r="R9" s="495">
        <f>R10+R25+R26+R31+R27+R30</f>
        <v>1009088</v>
      </c>
      <c r="S9" s="577">
        <f>S10+S25+S26+S27+S30+S31</f>
        <v>2195131</v>
      </c>
      <c r="T9" s="549">
        <f>I9+O9</f>
        <v>123100</v>
      </c>
      <c r="U9" s="549">
        <f>S9-T9</f>
        <v>2072031</v>
      </c>
      <c r="V9" s="577">
        <f>V10+V25+V26+V27+V30+V31</f>
        <v>244000</v>
      </c>
      <c r="W9" s="577">
        <f>W10+W25+W26+W27+W30+W31</f>
        <v>44000</v>
      </c>
      <c r="X9" s="549">
        <f>X10+X25+X26+X31+X27+X30</f>
        <v>200000</v>
      </c>
    </row>
    <row r="10" spans="1:26">
      <c r="A10" s="431">
        <v>1</v>
      </c>
      <c r="B10" s="473" t="s">
        <v>410</v>
      </c>
      <c r="C10" s="488">
        <f>C11+C12+C13+C14+C15</f>
        <v>794680</v>
      </c>
      <c r="D10" s="488"/>
      <c r="E10" s="488">
        <f>F10+M10</f>
        <v>3559769</v>
      </c>
      <c r="F10" s="462">
        <f>SUM(G10:L10)</f>
        <v>2649671</v>
      </c>
      <c r="G10" s="546">
        <f>SUM(G11:G15)</f>
        <v>4000</v>
      </c>
      <c r="H10" s="462">
        <f t="shared" ref="H10:K10" si="7">SUM(H11:H15)</f>
        <v>0</v>
      </c>
      <c r="I10" s="462">
        <f t="shared" ref="I10" si="8">SUM(I11:I15)</f>
        <v>0</v>
      </c>
      <c r="J10" s="462">
        <f t="shared" ref="J10" si="9">SUM(J11:J15)</f>
        <v>0</v>
      </c>
      <c r="K10" s="462">
        <f t="shared" si="7"/>
        <v>0</v>
      </c>
      <c r="L10" s="462">
        <f>SUM(L11:L15)</f>
        <v>2645671</v>
      </c>
      <c r="M10" s="462">
        <f t="shared" ref="M10:M87" si="10">SUM(N10:R10)</f>
        <v>910098</v>
      </c>
      <c r="N10" s="546">
        <f>SUM(N11:N15)</f>
        <v>330000</v>
      </c>
      <c r="O10" s="462">
        <f t="shared" ref="O10" si="11">SUM(O11:O15)</f>
        <v>107510</v>
      </c>
      <c r="P10" s="462">
        <f t="shared" ref="P10" si="12">SUM(P11:P15)</f>
        <v>0</v>
      </c>
      <c r="Q10" s="462">
        <f>SUM(Q11:Q15)</f>
        <v>0</v>
      </c>
      <c r="R10" s="462">
        <f>SUM(R11:R15)</f>
        <v>472588</v>
      </c>
      <c r="S10" s="546">
        <f>SUM(S11:S14)</f>
        <v>2195131</v>
      </c>
      <c r="T10" s="546">
        <f t="shared" ref="T10:U10" si="13">SUM(T11:T14)</f>
        <v>107510</v>
      </c>
      <c r="U10" s="546">
        <f t="shared" si="13"/>
        <v>2087621</v>
      </c>
      <c r="V10" s="546">
        <f>SUM(V11:V15)</f>
        <v>200000</v>
      </c>
      <c r="W10" s="546">
        <f t="shared" ref="W10:X10" si="14">SUM(W11:W15)</f>
        <v>0</v>
      </c>
      <c r="X10" s="546">
        <f t="shared" si="14"/>
        <v>200000</v>
      </c>
    </row>
    <row r="11" spans="1:26" ht="20.25" customHeight="1">
      <c r="A11" s="431" t="s">
        <v>45</v>
      </c>
      <c r="B11" s="473" t="s">
        <v>409</v>
      </c>
      <c r="C11" s="488">
        <v>790680</v>
      </c>
      <c r="D11" s="488"/>
      <c r="E11" s="488">
        <f>F11+M11</f>
        <v>869860</v>
      </c>
      <c r="F11" s="462">
        <f>SUM(G11:L11)</f>
        <v>218672</v>
      </c>
      <c r="G11" s="546"/>
      <c r="H11" s="462"/>
      <c r="I11" s="462"/>
      <c r="J11" s="462"/>
      <c r="K11" s="462"/>
      <c r="L11" s="462">
        <f>869860-M11</f>
        <v>218672</v>
      </c>
      <c r="M11" s="462">
        <f t="shared" si="10"/>
        <v>651188</v>
      </c>
      <c r="N11" s="546">
        <f>330000</f>
        <v>330000</v>
      </c>
      <c r="O11" s="462"/>
      <c r="P11" s="462"/>
      <c r="Q11" s="462"/>
      <c r="R11" s="462">
        <f>20350+12650+272088-272088+288188</f>
        <v>321188</v>
      </c>
      <c r="S11" s="549"/>
      <c r="T11" s="549">
        <f t="shared" ref="T11:T73" si="15">I11+O11</f>
        <v>0</v>
      </c>
      <c r="U11" s="549">
        <f>S11-T11</f>
        <v>0</v>
      </c>
      <c r="V11" s="549"/>
      <c r="W11" s="549">
        <f>J11+P11</f>
        <v>0</v>
      </c>
      <c r="X11" s="546">
        <f>V11-W11</f>
        <v>0</v>
      </c>
    </row>
    <row r="12" spans="1:26" ht="20.25" customHeight="1">
      <c r="A12" s="431" t="s">
        <v>56</v>
      </c>
      <c r="B12" s="473" t="s">
        <v>411</v>
      </c>
      <c r="C12" s="488"/>
      <c r="D12" s="488"/>
      <c r="E12" s="488">
        <f t="shared" ref="E12:E33" si="16">F12+M12</f>
        <v>489799</v>
      </c>
      <c r="F12" s="462">
        <f t="shared" ref="F12:F87" si="17">SUM(G12:L12)</f>
        <v>489799</v>
      </c>
      <c r="G12" s="546"/>
      <c r="H12" s="462"/>
      <c r="I12" s="462"/>
      <c r="J12" s="462"/>
      <c r="K12" s="462"/>
      <c r="L12" s="462">
        <v>489799</v>
      </c>
      <c r="M12" s="462">
        <f t="shared" si="10"/>
        <v>0</v>
      </c>
      <c r="N12" s="546"/>
      <c r="O12" s="462"/>
      <c r="P12" s="462"/>
      <c r="Q12" s="462"/>
      <c r="R12" s="462"/>
      <c r="S12" s="546">
        <v>489799</v>
      </c>
      <c r="T12" s="546">
        <f t="shared" si="15"/>
        <v>0</v>
      </c>
      <c r="U12" s="546">
        <f>S12-T12</f>
        <v>489799</v>
      </c>
      <c r="V12" s="549"/>
      <c r="W12" s="549">
        <f t="shared" ref="W12:W75" si="18">J12+P12</f>
        <v>0</v>
      </c>
      <c r="X12" s="546">
        <f t="shared" ref="X12:X75" si="19">V12-W12</f>
        <v>0</v>
      </c>
    </row>
    <row r="13" spans="1:26" ht="20.25" customHeight="1">
      <c r="A13" s="431" t="s">
        <v>59</v>
      </c>
      <c r="B13" s="473" t="s">
        <v>412</v>
      </c>
      <c r="C13" s="488"/>
      <c r="D13" s="488"/>
      <c r="E13" s="488">
        <f t="shared" si="16"/>
        <v>369954</v>
      </c>
      <c r="F13" s="462">
        <f t="shared" si="17"/>
        <v>369954</v>
      </c>
      <c r="G13" s="546"/>
      <c r="H13" s="462"/>
      <c r="I13" s="462"/>
      <c r="J13" s="462"/>
      <c r="K13" s="462"/>
      <c r="L13" s="462">
        <f>192854+177100</f>
        <v>369954</v>
      </c>
      <c r="M13" s="462">
        <f t="shared" si="10"/>
        <v>0</v>
      </c>
      <c r="N13" s="546"/>
      <c r="O13" s="462"/>
      <c r="P13" s="462"/>
      <c r="Q13" s="462"/>
      <c r="R13" s="462"/>
      <c r="S13" s="546">
        <f>192854+177100</f>
        <v>369954</v>
      </c>
      <c r="T13" s="546">
        <f t="shared" si="15"/>
        <v>0</v>
      </c>
      <c r="U13" s="546">
        <f>S13-T13</f>
        <v>369954</v>
      </c>
      <c r="V13" s="549"/>
      <c r="W13" s="549">
        <f t="shared" si="18"/>
        <v>0</v>
      </c>
      <c r="X13" s="546">
        <f t="shared" si="19"/>
        <v>0</v>
      </c>
    </row>
    <row r="14" spans="1:26" ht="31.5">
      <c r="A14" s="431" t="s">
        <v>413</v>
      </c>
      <c r="B14" s="473" t="s">
        <v>478</v>
      </c>
      <c r="C14" s="488"/>
      <c r="D14" s="488"/>
      <c r="E14" s="488">
        <f t="shared" si="16"/>
        <v>1335378</v>
      </c>
      <c r="F14" s="462">
        <f>SUM(G14:L14)</f>
        <v>1227868</v>
      </c>
      <c r="G14" s="546"/>
      <c r="H14" s="462"/>
      <c r="I14" s="462"/>
      <c r="J14" s="462"/>
      <c r="K14" s="462"/>
      <c r="L14" s="462">
        <f>1335378-M14</f>
        <v>1227868</v>
      </c>
      <c r="M14" s="462">
        <f t="shared" si="10"/>
        <v>107510</v>
      </c>
      <c r="N14" s="546"/>
      <c r="O14" s="462">
        <v>107510</v>
      </c>
      <c r="P14" s="462"/>
      <c r="Q14" s="462"/>
      <c r="R14" s="462"/>
      <c r="S14" s="546">
        <f>363000+972378</f>
        <v>1335378</v>
      </c>
      <c r="T14" s="546">
        <f t="shared" si="15"/>
        <v>107510</v>
      </c>
      <c r="U14" s="546">
        <f t="shared" ref="U14" si="20">S14-T14</f>
        <v>1227868</v>
      </c>
      <c r="V14" s="549"/>
      <c r="W14" s="549">
        <f t="shared" si="18"/>
        <v>0</v>
      </c>
      <c r="X14" s="546">
        <f t="shared" si="19"/>
        <v>0</v>
      </c>
    </row>
    <row r="15" spans="1:26" ht="20.25" customHeight="1">
      <c r="A15" s="431" t="s">
        <v>414</v>
      </c>
      <c r="B15" s="473" t="s">
        <v>415</v>
      </c>
      <c r="C15" s="546">
        <f>C16+C20+C21+C24</f>
        <v>4000</v>
      </c>
      <c r="D15" s="488"/>
      <c r="E15" s="488">
        <f>F15+M15</f>
        <v>494778</v>
      </c>
      <c r="F15" s="462">
        <f>SUM(G15:L15)</f>
        <v>343378</v>
      </c>
      <c r="G15" s="546">
        <f>G16+G20+G21+G24</f>
        <v>4000</v>
      </c>
      <c r="H15" s="462">
        <f>H16+H20+H21+H24</f>
        <v>0</v>
      </c>
      <c r="I15" s="462">
        <f t="shared" ref="I15:J15" si="21">I16+I20+I21+I24</f>
        <v>0</v>
      </c>
      <c r="J15" s="462">
        <f t="shared" si="21"/>
        <v>0</v>
      </c>
      <c r="K15" s="462">
        <f t="shared" ref="K15" si="22">K16+K20+K21+K24</f>
        <v>0</v>
      </c>
      <c r="L15" s="462">
        <f>L16+L20+L21+L24</f>
        <v>339378</v>
      </c>
      <c r="M15" s="462">
        <f t="shared" si="10"/>
        <v>151400</v>
      </c>
      <c r="N15" s="546">
        <f t="shared" ref="N15:P15" si="23">N16+N20+N21+N24</f>
        <v>0</v>
      </c>
      <c r="O15" s="462">
        <f t="shared" si="23"/>
        <v>0</v>
      </c>
      <c r="P15" s="462">
        <f t="shared" si="23"/>
        <v>0</v>
      </c>
      <c r="Q15" s="462">
        <f>Q16+Q20+Q21+Q24</f>
        <v>0</v>
      </c>
      <c r="R15" s="462">
        <f>R16+R20+R21+R24</f>
        <v>151400</v>
      </c>
      <c r="S15" s="549"/>
      <c r="T15" s="549">
        <f>I15+O15</f>
        <v>0</v>
      </c>
      <c r="U15" s="549">
        <f>S15-T15</f>
        <v>0</v>
      </c>
      <c r="V15" s="549">
        <f>V16+V20+V21+V24</f>
        <v>200000</v>
      </c>
      <c r="W15" s="549">
        <f t="shared" si="18"/>
        <v>0</v>
      </c>
      <c r="X15" s="546">
        <f t="shared" si="19"/>
        <v>200000</v>
      </c>
    </row>
    <row r="16" spans="1:26" ht="20.25" customHeight="1">
      <c r="A16" s="431" t="s">
        <v>24</v>
      </c>
      <c r="B16" s="473" t="s">
        <v>662</v>
      </c>
      <c r="C16" s="488"/>
      <c r="D16" s="488"/>
      <c r="E16" s="488">
        <f>F16+M16</f>
        <v>27500</v>
      </c>
      <c r="F16" s="462">
        <f t="shared" si="17"/>
        <v>0</v>
      </c>
      <c r="G16" s="546"/>
      <c r="H16" s="462"/>
      <c r="I16" s="462"/>
      <c r="J16" s="462"/>
      <c r="K16" s="462"/>
      <c r="L16" s="462">
        <f>SUM(L17:L19)</f>
        <v>0</v>
      </c>
      <c r="M16" s="462">
        <f t="shared" si="10"/>
        <v>27500</v>
      </c>
      <c r="N16" s="546">
        <f>SUM(N17:N19)</f>
        <v>0</v>
      </c>
      <c r="O16" s="462"/>
      <c r="P16" s="462"/>
      <c r="Q16" s="462"/>
      <c r="R16" s="462">
        <f>SUM(R17:R19)</f>
        <v>27500</v>
      </c>
      <c r="S16" s="549"/>
      <c r="T16" s="549">
        <f t="shared" si="15"/>
        <v>0</v>
      </c>
      <c r="U16" s="549">
        <f>S16-T16</f>
        <v>0</v>
      </c>
      <c r="V16" s="549"/>
      <c r="W16" s="549">
        <f t="shared" si="18"/>
        <v>0</v>
      </c>
      <c r="X16" s="546">
        <f t="shared" si="19"/>
        <v>0</v>
      </c>
    </row>
    <row r="17" spans="1:24" s="424" customFormat="1">
      <c r="A17" s="432"/>
      <c r="B17" s="474" t="s">
        <v>663</v>
      </c>
      <c r="C17" s="488"/>
      <c r="D17" s="488"/>
      <c r="E17" s="488">
        <f t="shared" si="16"/>
        <v>15000</v>
      </c>
      <c r="F17" s="460">
        <f t="shared" si="17"/>
        <v>0</v>
      </c>
      <c r="G17" s="547"/>
      <c r="H17" s="460"/>
      <c r="I17" s="460"/>
      <c r="J17" s="460"/>
      <c r="K17" s="460"/>
      <c r="L17" s="460"/>
      <c r="M17" s="460">
        <f t="shared" si="10"/>
        <v>15000</v>
      </c>
      <c r="N17" s="547"/>
      <c r="O17" s="460"/>
      <c r="P17" s="460"/>
      <c r="Q17" s="460"/>
      <c r="R17" s="460">
        <v>15000</v>
      </c>
      <c r="S17" s="549"/>
      <c r="T17" s="549"/>
      <c r="U17" s="549"/>
      <c r="V17" s="549"/>
      <c r="W17" s="549">
        <f t="shared" si="18"/>
        <v>0</v>
      </c>
      <c r="X17" s="546">
        <f t="shared" si="19"/>
        <v>0</v>
      </c>
    </row>
    <row r="18" spans="1:24" s="424" customFormat="1">
      <c r="A18" s="432"/>
      <c r="B18" s="474" t="s">
        <v>664</v>
      </c>
      <c r="C18" s="488"/>
      <c r="D18" s="488"/>
      <c r="E18" s="488">
        <f t="shared" si="16"/>
        <v>12500</v>
      </c>
      <c r="F18" s="460">
        <f t="shared" si="17"/>
        <v>0</v>
      </c>
      <c r="G18" s="547"/>
      <c r="H18" s="460"/>
      <c r="I18" s="460"/>
      <c r="J18" s="460"/>
      <c r="K18" s="460"/>
      <c r="L18" s="460"/>
      <c r="M18" s="460">
        <f t="shared" si="10"/>
        <v>12500</v>
      </c>
      <c r="N18" s="547"/>
      <c r="O18" s="460"/>
      <c r="P18" s="460"/>
      <c r="Q18" s="460"/>
      <c r="R18" s="460">
        <v>12500</v>
      </c>
      <c r="S18" s="549"/>
      <c r="T18" s="549"/>
      <c r="U18" s="549"/>
      <c r="V18" s="549"/>
      <c r="W18" s="549">
        <f t="shared" si="18"/>
        <v>0</v>
      </c>
      <c r="X18" s="546">
        <f t="shared" si="19"/>
        <v>0</v>
      </c>
    </row>
    <row r="19" spans="1:24" s="424" customFormat="1">
      <c r="A19" s="432"/>
      <c r="B19" s="474" t="s">
        <v>429</v>
      </c>
      <c r="C19" s="488"/>
      <c r="D19" s="488"/>
      <c r="E19" s="488">
        <f t="shared" si="16"/>
        <v>0</v>
      </c>
      <c r="F19" s="460">
        <f t="shared" si="17"/>
        <v>0</v>
      </c>
      <c r="G19" s="547"/>
      <c r="H19" s="460"/>
      <c r="I19" s="460"/>
      <c r="J19" s="460"/>
      <c r="K19" s="460"/>
      <c r="L19" s="460"/>
      <c r="M19" s="460">
        <f t="shared" si="10"/>
        <v>0</v>
      </c>
      <c r="N19" s="547"/>
      <c r="O19" s="460"/>
      <c r="P19" s="460"/>
      <c r="Q19" s="460"/>
      <c r="R19" s="460"/>
      <c r="S19" s="549"/>
      <c r="T19" s="549"/>
      <c r="U19" s="549"/>
      <c r="V19" s="549"/>
      <c r="W19" s="549">
        <f t="shared" si="18"/>
        <v>0</v>
      </c>
      <c r="X19" s="546">
        <f t="shared" si="19"/>
        <v>0</v>
      </c>
    </row>
    <row r="20" spans="1:24">
      <c r="A20" s="431" t="s">
        <v>25</v>
      </c>
      <c r="B20" s="473" t="s">
        <v>497</v>
      </c>
      <c r="C20" s="488">
        <v>4000</v>
      </c>
      <c r="D20" s="488"/>
      <c r="E20" s="488">
        <f t="shared" si="16"/>
        <v>4000</v>
      </c>
      <c r="F20" s="462">
        <f t="shared" si="17"/>
        <v>4000</v>
      </c>
      <c r="G20" s="546">
        <f>10300-6300</f>
        <v>4000</v>
      </c>
      <c r="H20" s="462"/>
      <c r="I20" s="462"/>
      <c r="J20" s="462"/>
      <c r="K20" s="462"/>
      <c r="L20" s="462"/>
      <c r="M20" s="462">
        <f t="shared" si="10"/>
        <v>0</v>
      </c>
      <c r="N20" s="546"/>
      <c r="O20" s="462"/>
      <c r="P20" s="462"/>
      <c r="Q20" s="462"/>
      <c r="R20" s="462"/>
      <c r="S20" s="549"/>
      <c r="T20" s="549">
        <f t="shared" si="15"/>
        <v>0</v>
      </c>
      <c r="U20" s="549">
        <f t="shared" ref="U20:U82" si="24">S20-T20</f>
        <v>0</v>
      </c>
      <c r="V20" s="549"/>
      <c r="W20" s="549">
        <f t="shared" si="18"/>
        <v>0</v>
      </c>
      <c r="X20" s="546">
        <f t="shared" si="19"/>
        <v>0</v>
      </c>
    </row>
    <row r="21" spans="1:24" ht="31.5">
      <c r="A21" s="431" t="s">
        <v>55</v>
      </c>
      <c r="B21" s="473" t="s">
        <v>656</v>
      </c>
      <c r="C21" s="488"/>
      <c r="D21" s="488"/>
      <c r="E21" s="488">
        <f t="shared" si="16"/>
        <v>200000</v>
      </c>
      <c r="F21" s="462">
        <f t="shared" si="17"/>
        <v>200000</v>
      </c>
      <c r="G21" s="546">
        <f t="shared" ref="G21:R21" si="25">G22+G23</f>
        <v>0</v>
      </c>
      <c r="H21" s="462">
        <f t="shared" ref="H21:K21" si="26">H22+H23</f>
        <v>0</v>
      </c>
      <c r="I21" s="462">
        <f t="shared" ref="I21:J21" si="27">I22+I23</f>
        <v>0</v>
      </c>
      <c r="J21" s="462">
        <f t="shared" si="27"/>
        <v>0</v>
      </c>
      <c r="K21" s="462">
        <f t="shared" si="26"/>
        <v>0</v>
      </c>
      <c r="L21" s="462">
        <f>X21</f>
        <v>200000</v>
      </c>
      <c r="M21" s="462">
        <f t="shared" si="10"/>
        <v>0</v>
      </c>
      <c r="N21" s="546">
        <f t="shared" si="25"/>
        <v>0</v>
      </c>
      <c r="O21" s="462">
        <f t="shared" si="25"/>
        <v>0</v>
      </c>
      <c r="P21" s="462">
        <f t="shared" si="25"/>
        <v>0</v>
      </c>
      <c r="Q21" s="462">
        <f t="shared" ref="Q21" si="28">Q22+Q23</f>
        <v>0</v>
      </c>
      <c r="R21" s="462">
        <f t="shared" si="25"/>
        <v>0</v>
      </c>
      <c r="S21" s="549"/>
      <c r="T21" s="549">
        <f t="shared" si="15"/>
        <v>0</v>
      </c>
      <c r="U21" s="549">
        <f t="shared" si="24"/>
        <v>0</v>
      </c>
      <c r="V21" s="549">
        <v>200000</v>
      </c>
      <c r="W21" s="549">
        <f>J21+P21</f>
        <v>0</v>
      </c>
      <c r="X21" s="546">
        <f>V21-W21</f>
        <v>200000</v>
      </c>
    </row>
    <row r="22" spans="1:24" s="424" customFormat="1">
      <c r="A22" s="432"/>
      <c r="B22" s="474"/>
      <c r="C22" s="488">
        <f t="shared" ref="C22:C23" si="29">F22+M22</f>
        <v>0</v>
      </c>
      <c r="D22" s="488"/>
      <c r="E22" s="488">
        <f t="shared" si="16"/>
        <v>0</v>
      </c>
      <c r="F22" s="460">
        <f t="shared" si="17"/>
        <v>0</v>
      </c>
      <c r="G22" s="547"/>
      <c r="H22" s="460"/>
      <c r="I22" s="460"/>
      <c r="J22" s="460"/>
      <c r="K22" s="460"/>
      <c r="L22" s="460"/>
      <c r="M22" s="462">
        <f t="shared" si="10"/>
        <v>0</v>
      </c>
      <c r="N22" s="547"/>
      <c r="O22" s="460"/>
      <c r="P22" s="460"/>
      <c r="Q22" s="460"/>
      <c r="R22" s="460"/>
      <c r="S22" s="549"/>
      <c r="T22" s="549">
        <f t="shared" si="15"/>
        <v>0</v>
      </c>
      <c r="U22" s="549">
        <f t="shared" si="24"/>
        <v>0</v>
      </c>
      <c r="V22" s="549"/>
      <c r="W22" s="549">
        <f t="shared" si="18"/>
        <v>0</v>
      </c>
      <c r="X22" s="546">
        <f t="shared" si="19"/>
        <v>0</v>
      </c>
    </row>
    <row r="23" spans="1:24" s="424" customFormat="1">
      <c r="A23" s="432"/>
      <c r="B23" s="474"/>
      <c r="C23" s="488">
        <f t="shared" si="29"/>
        <v>0</v>
      </c>
      <c r="D23" s="488"/>
      <c r="E23" s="488">
        <f t="shared" si="16"/>
        <v>0</v>
      </c>
      <c r="F23" s="460">
        <f t="shared" si="17"/>
        <v>0</v>
      </c>
      <c r="G23" s="547"/>
      <c r="H23" s="460"/>
      <c r="I23" s="460"/>
      <c r="J23" s="460"/>
      <c r="K23" s="460"/>
      <c r="L23" s="460"/>
      <c r="M23" s="462">
        <f t="shared" si="10"/>
        <v>0</v>
      </c>
      <c r="N23" s="547"/>
      <c r="O23" s="460"/>
      <c r="P23" s="460"/>
      <c r="Q23" s="460"/>
      <c r="R23" s="460"/>
      <c r="S23" s="549"/>
      <c r="T23" s="549">
        <f t="shared" si="15"/>
        <v>0</v>
      </c>
      <c r="U23" s="549">
        <f t="shared" si="24"/>
        <v>0</v>
      </c>
      <c r="V23" s="549"/>
      <c r="W23" s="549">
        <f t="shared" si="18"/>
        <v>0</v>
      </c>
      <c r="X23" s="546">
        <f t="shared" si="19"/>
        <v>0</v>
      </c>
    </row>
    <row r="24" spans="1:24" ht="31.5">
      <c r="A24" s="431" t="s">
        <v>74</v>
      </c>
      <c r="B24" s="473" t="s">
        <v>501</v>
      </c>
      <c r="C24" s="488"/>
      <c r="D24" s="488"/>
      <c r="E24" s="488">
        <f t="shared" si="16"/>
        <v>263278</v>
      </c>
      <c r="F24" s="460">
        <f t="shared" si="17"/>
        <v>139378</v>
      </c>
      <c r="G24" s="546"/>
      <c r="H24" s="462"/>
      <c r="I24" s="462"/>
      <c r="J24" s="462"/>
      <c r="K24" s="462"/>
      <c r="L24" s="462">
        <f>248278+15000-M24</f>
        <v>139378</v>
      </c>
      <c r="M24" s="462">
        <f t="shared" si="10"/>
        <v>123900</v>
      </c>
      <c r="N24" s="546"/>
      <c r="O24" s="462"/>
      <c r="P24" s="462"/>
      <c r="Q24" s="462"/>
      <c r="R24" s="462">
        <f>15000+101700-101700+108900</f>
        <v>123900</v>
      </c>
      <c r="S24" s="549"/>
      <c r="T24" s="549">
        <f t="shared" si="15"/>
        <v>0</v>
      </c>
      <c r="U24" s="549">
        <f t="shared" si="24"/>
        <v>0</v>
      </c>
      <c r="V24" s="549"/>
      <c r="W24" s="549">
        <f t="shared" si="18"/>
        <v>0</v>
      </c>
      <c r="X24" s="546">
        <f t="shared" si="19"/>
        <v>0</v>
      </c>
    </row>
    <row r="25" spans="1:24">
      <c r="A25" s="431">
        <v>2</v>
      </c>
      <c r="B25" s="473" t="s">
        <v>417</v>
      </c>
      <c r="C25" s="488">
        <v>0</v>
      </c>
      <c r="D25" s="488"/>
      <c r="E25" s="488">
        <f t="shared" si="16"/>
        <v>865000</v>
      </c>
      <c r="F25" s="462">
        <f t="shared" si="17"/>
        <v>328500</v>
      </c>
      <c r="G25" s="546"/>
      <c r="H25" s="462"/>
      <c r="I25" s="462"/>
      <c r="J25" s="462">
        <v>44000</v>
      </c>
      <c r="K25" s="462"/>
      <c r="L25" s="462">
        <v>284500</v>
      </c>
      <c r="M25" s="462">
        <f t="shared" si="10"/>
        <v>536500</v>
      </c>
      <c r="N25" s="546"/>
      <c r="O25" s="462"/>
      <c r="P25" s="462"/>
      <c r="Q25" s="462"/>
      <c r="R25" s="462">
        <v>536500</v>
      </c>
      <c r="S25" s="549"/>
      <c r="T25" s="549">
        <f t="shared" si="15"/>
        <v>0</v>
      </c>
      <c r="U25" s="549">
        <f t="shared" si="24"/>
        <v>0</v>
      </c>
      <c r="V25" s="549">
        <v>44000</v>
      </c>
      <c r="W25" s="549">
        <f t="shared" si="18"/>
        <v>44000</v>
      </c>
      <c r="X25" s="546">
        <f t="shared" si="19"/>
        <v>0</v>
      </c>
    </row>
    <row r="26" spans="1:24">
      <c r="A26" s="431">
        <v>3</v>
      </c>
      <c r="B26" s="473" t="s">
        <v>418</v>
      </c>
      <c r="C26" s="488"/>
      <c r="D26" s="488"/>
      <c r="E26" s="488">
        <f t="shared" si="16"/>
        <v>76000</v>
      </c>
      <c r="F26" s="462">
        <f t="shared" si="17"/>
        <v>60410</v>
      </c>
      <c r="G26" s="546"/>
      <c r="H26" s="462"/>
      <c r="I26" s="462"/>
      <c r="J26" s="462"/>
      <c r="K26" s="462"/>
      <c r="L26" s="462">
        <f>76000-M26</f>
        <v>60410</v>
      </c>
      <c r="M26" s="462">
        <f t="shared" si="10"/>
        <v>15590</v>
      </c>
      <c r="N26" s="546"/>
      <c r="O26" s="462">
        <v>15590</v>
      </c>
      <c r="P26" s="462"/>
      <c r="Q26" s="462"/>
      <c r="R26" s="462"/>
      <c r="S26" s="549"/>
      <c r="T26" s="549"/>
      <c r="U26" s="549"/>
      <c r="V26" s="549"/>
      <c r="W26" s="549">
        <f t="shared" si="18"/>
        <v>0</v>
      </c>
      <c r="X26" s="546">
        <f t="shared" si="19"/>
        <v>0</v>
      </c>
    </row>
    <row r="27" spans="1:24">
      <c r="A27" s="431">
        <v>4</v>
      </c>
      <c r="B27" s="473" t="s">
        <v>430</v>
      </c>
      <c r="C27" s="488"/>
      <c r="D27" s="488"/>
      <c r="E27" s="488">
        <f t="shared" si="16"/>
        <v>0</v>
      </c>
      <c r="F27" s="462">
        <f t="shared" si="17"/>
        <v>0</v>
      </c>
      <c r="G27" s="546"/>
      <c r="H27" s="462"/>
      <c r="I27" s="462"/>
      <c r="J27" s="462"/>
      <c r="K27" s="462"/>
      <c r="L27" s="462">
        <f>SUM(L28:L29)</f>
        <v>0</v>
      </c>
      <c r="M27" s="462">
        <f t="shared" si="10"/>
        <v>0</v>
      </c>
      <c r="N27" s="546"/>
      <c r="O27" s="462"/>
      <c r="P27" s="462"/>
      <c r="Q27" s="462"/>
      <c r="R27" s="462"/>
      <c r="S27" s="549"/>
      <c r="T27" s="549">
        <f t="shared" si="15"/>
        <v>0</v>
      </c>
      <c r="U27" s="549">
        <f t="shared" si="24"/>
        <v>0</v>
      </c>
      <c r="V27" s="549">
        <f>V28+V29</f>
        <v>0</v>
      </c>
      <c r="W27" s="549">
        <f t="shared" si="18"/>
        <v>0</v>
      </c>
      <c r="X27" s="546">
        <f t="shared" si="19"/>
        <v>0</v>
      </c>
    </row>
    <row r="28" spans="1:24" s="424" customFormat="1">
      <c r="A28" s="432"/>
      <c r="B28" s="474"/>
      <c r="C28" s="488"/>
      <c r="D28" s="488"/>
      <c r="E28" s="488">
        <f t="shared" si="16"/>
        <v>0</v>
      </c>
      <c r="F28" s="460">
        <f t="shared" si="17"/>
        <v>0</v>
      </c>
      <c r="G28" s="547"/>
      <c r="H28" s="460"/>
      <c r="I28" s="460"/>
      <c r="J28" s="460"/>
      <c r="K28" s="460"/>
      <c r="L28" s="460"/>
      <c r="M28" s="460">
        <f t="shared" si="10"/>
        <v>0</v>
      </c>
      <c r="N28" s="547"/>
      <c r="O28" s="460"/>
      <c r="P28" s="460"/>
      <c r="Q28" s="460"/>
      <c r="R28" s="460"/>
      <c r="S28" s="549"/>
      <c r="T28" s="549">
        <f t="shared" si="15"/>
        <v>0</v>
      </c>
      <c r="U28" s="549">
        <f t="shared" si="24"/>
        <v>0</v>
      </c>
      <c r="V28" s="549"/>
      <c r="W28" s="549">
        <f t="shared" si="18"/>
        <v>0</v>
      </c>
      <c r="X28" s="546">
        <f t="shared" si="19"/>
        <v>0</v>
      </c>
    </row>
    <row r="29" spans="1:24" s="424" customFormat="1">
      <c r="A29" s="432"/>
      <c r="B29" s="474"/>
      <c r="C29" s="488"/>
      <c r="D29" s="488"/>
      <c r="E29" s="488">
        <f t="shared" si="16"/>
        <v>0</v>
      </c>
      <c r="F29" s="460">
        <f t="shared" si="17"/>
        <v>0</v>
      </c>
      <c r="G29" s="547"/>
      <c r="H29" s="460"/>
      <c r="I29" s="460"/>
      <c r="J29" s="460"/>
      <c r="K29" s="460"/>
      <c r="L29" s="460"/>
      <c r="M29" s="460">
        <f t="shared" si="10"/>
        <v>0</v>
      </c>
      <c r="N29" s="547"/>
      <c r="O29" s="460"/>
      <c r="P29" s="460"/>
      <c r="Q29" s="460"/>
      <c r="R29" s="460"/>
      <c r="S29" s="549"/>
      <c r="T29" s="549">
        <f t="shared" si="15"/>
        <v>0</v>
      </c>
      <c r="U29" s="549">
        <f t="shared" si="24"/>
        <v>0</v>
      </c>
      <c r="V29" s="549"/>
      <c r="W29" s="549">
        <f t="shared" si="18"/>
        <v>0</v>
      </c>
      <c r="X29" s="546">
        <f t="shared" si="19"/>
        <v>0</v>
      </c>
    </row>
    <row r="30" spans="1:24">
      <c r="A30" s="431">
        <v>5</v>
      </c>
      <c r="B30" s="473" t="s">
        <v>426</v>
      </c>
      <c r="C30" s="488">
        <v>80000</v>
      </c>
      <c r="D30" s="488"/>
      <c r="E30" s="488">
        <f t="shared" si="16"/>
        <v>80000</v>
      </c>
      <c r="F30" s="462">
        <f t="shared" si="17"/>
        <v>80000</v>
      </c>
      <c r="G30" s="546">
        <f>65000+15000</f>
        <v>80000</v>
      </c>
      <c r="H30" s="462"/>
      <c r="I30" s="462"/>
      <c r="J30" s="462"/>
      <c r="K30" s="462"/>
      <c r="L30" s="462"/>
      <c r="M30" s="462">
        <f t="shared" si="10"/>
        <v>0</v>
      </c>
      <c r="N30" s="546"/>
      <c r="O30" s="462"/>
      <c r="P30" s="462"/>
      <c r="Q30" s="462"/>
      <c r="R30" s="462"/>
      <c r="S30" s="549"/>
      <c r="T30" s="549">
        <f t="shared" si="15"/>
        <v>0</v>
      </c>
      <c r="U30" s="549">
        <f t="shared" si="24"/>
        <v>0</v>
      </c>
      <c r="V30" s="549"/>
      <c r="W30" s="549">
        <f t="shared" si="18"/>
        <v>0</v>
      </c>
      <c r="X30" s="546">
        <f t="shared" si="19"/>
        <v>0</v>
      </c>
    </row>
    <row r="31" spans="1:24">
      <c r="A31" s="431">
        <v>6</v>
      </c>
      <c r="B31" s="473" t="s">
        <v>440</v>
      </c>
      <c r="C31" s="488"/>
      <c r="D31" s="488"/>
      <c r="E31" s="488">
        <f t="shared" si="16"/>
        <v>76300</v>
      </c>
      <c r="F31" s="462">
        <f t="shared" si="17"/>
        <v>76300</v>
      </c>
      <c r="G31" s="546"/>
      <c r="H31" s="462"/>
      <c r="I31" s="462"/>
      <c r="J31" s="462"/>
      <c r="K31" s="462"/>
      <c r="L31" s="462">
        <v>76300</v>
      </c>
      <c r="M31" s="462">
        <f t="shared" si="10"/>
        <v>0</v>
      </c>
      <c r="N31" s="546"/>
      <c r="O31" s="462"/>
      <c r="P31" s="462"/>
      <c r="Q31" s="462"/>
      <c r="R31" s="462"/>
      <c r="S31" s="549"/>
      <c r="T31" s="549">
        <f t="shared" si="15"/>
        <v>0</v>
      </c>
      <c r="U31" s="549">
        <f t="shared" si="24"/>
        <v>0</v>
      </c>
      <c r="V31" s="549"/>
      <c r="W31" s="549">
        <f t="shared" si="18"/>
        <v>0</v>
      </c>
      <c r="X31" s="546">
        <f t="shared" si="19"/>
        <v>0</v>
      </c>
    </row>
    <row r="32" spans="1:24" s="434" customFormat="1">
      <c r="A32" s="1091" t="s">
        <v>18</v>
      </c>
      <c r="B32" s="433" t="s">
        <v>386</v>
      </c>
      <c r="C32" s="489">
        <f>C34+C42+C50+C72+C90+C93+C104+C109+C118+C137+C151+C156+C168+C169</f>
        <v>10362879</v>
      </c>
      <c r="D32" s="489"/>
      <c r="E32" s="489">
        <f>F32+M32</f>
        <v>11568120</v>
      </c>
      <c r="F32" s="495">
        <f>SUM(G32:L32)</f>
        <v>4810547</v>
      </c>
      <c r="G32" s="549">
        <f>G34+G42+G50+G72+G90+G93+G104+G109+G118+G137+G151+G156+G168+G169+G174</f>
        <v>2437873</v>
      </c>
      <c r="H32" s="549">
        <f t="shared" ref="H32:L32" si="30">H34+H42+H50+H72+H90+H93+H104+H109+H118+H137+H151+H156+H168+H169+H174</f>
        <v>0</v>
      </c>
      <c r="I32" s="549">
        <f t="shared" si="30"/>
        <v>0</v>
      </c>
      <c r="J32" s="549">
        <f t="shared" si="30"/>
        <v>50070</v>
      </c>
      <c r="K32" s="549">
        <f t="shared" si="30"/>
        <v>0</v>
      </c>
      <c r="L32" s="549">
        <f t="shared" si="30"/>
        <v>2322604</v>
      </c>
      <c r="M32" s="495">
        <f>SUM(N32:R32)</f>
        <v>6757573</v>
      </c>
      <c r="N32" s="549">
        <f t="shared" ref="N32:R32" si="31">N34+N42+N50+N72+N90+N93+N104+N109+N118+N137+N151+N156+N168+N169+N174</f>
        <v>6257356</v>
      </c>
      <c r="O32" s="549">
        <f t="shared" si="31"/>
        <v>0</v>
      </c>
      <c r="P32" s="549">
        <f t="shared" si="31"/>
        <v>171633</v>
      </c>
      <c r="Q32" s="549">
        <f t="shared" si="31"/>
        <v>0</v>
      </c>
      <c r="R32" s="549">
        <f t="shared" si="31"/>
        <v>328584</v>
      </c>
      <c r="S32" s="549"/>
      <c r="T32" s="549">
        <f t="shared" si="15"/>
        <v>0</v>
      </c>
      <c r="U32" s="549">
        <f t="shared" si="24"/>
        <v>0</v>
      </c>
      <c r="V32" s="549">
        <f>V34+V42+V50+V72+V90+V93+V104+V109+V118+V137+V151+V156+V168+V169</f>
        <v>1070825</v>
      </c>
      <c r="W32" s="549">
        <f>J32+P32</f>
        <v>221703</v>
      </c>
      <c r="X32" s="546">
        <f>V32-W32</f>
        <v>849122</v>
      </c>
    </row>
    <row r="33" spans="1:26" s="434" customFormat="1" ht="31.5">
      <c r="A33" s="1091"/>
      <c r="B33" s="435" t="s">
        <v>387</v>
      </c>
      <c r="C33" s="488"/>
      <c r="D33" s="488"/>
      <c r="E33" s="488">
        <f t="shared" si="16"/>
        <v>0</v>
      </c>
      <c r="F33" s="460">
        <f t="shared" si="17"/>
        <v>0</v>
      </c>
      <c r="G33" s="547"/>
      <c r="H33" s="460"/>
      <c r="I33" s="460"/>
      <c r="J33" s="460"/>
      <c r="K33" s="460"/>
      <c r="L33" s="460"/>
      <c r="M33" s="460">
        <f t="shared" si="10"/>
        <v>0</v>
      </c>
      <c r="N33" s="547"/>
      <c r="O33" s="460"/>
      <c r="P33" s="460"/>
      <c r="Q33" s="460"/>
      <c r="R33" s="460"/>
      <c r="S33" s="549"/>
      <c r="T33" s="549">
        <f t="shared" si="15"/>
        <v>0</v>
      </c>
      <c r="U33" s="549">
        <f t="shared" si="24"/>
        <v>0</v>
      </c>
      <c r="V33" s="549"/>
      <c r="W33" s="549">
        <f t="shared" si="18"/>
        <v>0</v>
      </c>
      <c r="X33" s="546">
        <f t="shared" si="19"/>
        <v>0</v>
      </c>
    </row>
    <row r="34" spans="1:26" s="434" customFormat="1">
      <c r="A34" s="568">
        <v>1</v>
      </c>
      <c r="B34" s="490" t="s">
        <v>432</v>
      </c>
      <c r="C34" s="489">
        <f>SUM(C35:C41)</f>
        <v>157011</v>
      </c>
      <c r="D34" s="489">
        <f>E34-C34-E37-E38-E39-E40</f>
        <v>19959</v>
      </c>
      <c r="E34" s="489">
        <f>SUM(E35:E41)</f>
        <v>182554</v>
      </c>
      <c r="F34" s="489">
        <f t="shared" si="17"/>
        <v>73662</v>
      </c>
      <c r="G34" s="549">
        <f>SUM(G35:G41)</f>
        <v>48253</v>
      </c>
      <c r="H34" s="489">
        <f t="shared" ref="H34" si="32">SUM(H35:H41)</f>
        <v>0</v>
      </c>
      <c r="I34" s="489">
        <f t="shared" ref="I34" si="33">SUM(I35:I41)</f>
        <v>0</v>
      </c>
      <c r="J34" s="489">
        <f t="shared" ref="J34" si="34">SUM(J35:J41)</f>
        <v>0</v>
      </c>
      <c r="K34" s="489">
        <f t="shared" ref="K34" si="35">SUM(K35:K41)</f>
        <v>0</v>
      </c>
      <c r="L34" s="489">
        <f>SUM(L35:L41)</f>
        <v>25409</v>
      </c>
      <c r="M34" s="489">
        <f t="shared" si="10"/>
        <v>108892</v>
      </c>
      <c r="N34" s="549">
        <f>SUM(N35:N41)</f>
        <v>108892</v>
      </c>
      <c r="O34" s="489">
        <f t="shared" ref="O34" si="36">SUM(O35:O41)</f>
        <v>0</v>
      </c>
      <c r="P34" s="489">
        <f t="shared" ref="P34" si="37">SUM(P35:P41)</f>
        <v>0</v>
      </c>
      <c r="Q34" s="489">
        <f>SUM(Q35:Q41)</f>
        <v>0</v>
      </c>
      <c r="R34" s="489">
        <f>SUM(R35:R41)</f>
        <v>0</v>
      </c>
      <c r="S34" s="549"/>
      <c r="T34" s="549">
        <f t="shared" si="15"/>
        <v>0</v>
      </c>
      <c r="U34" s="549">
        <f t="shared" si="24"/>
        <v>0</v>
      </c>
      <c r="V34" s="549">
        <f>SUM(V35:V41)</f>
        <v>5584</v>
      </c>
      <c r="W34" s="549">
        <f t="shared" si="18"/>
        <v>0</v>
      </c>
      <c r="X34" s="546">
        <f t="shared" si="19"/>
        <v>5584</v>
      </c>
      <c r="Z34" s="733">
        <f>V39+V47+V66+V85+V99+V130+V146+V161</f>
        <v>518719</v>
      </c>
    </row>
    <row r="35" spans="1:26">
      <c r="A35" s="431" t="s">
        <v>433</v>
      </c>
      <c r="B35" s="436" t="s">
        <v>37</v>
      </c>
      <c r="C35" s="488">
        <v>59015</v>
      </c>
      <c r="D35" s="488"/>
      <c r="E35" s="488">
        <f>F35+M35</f>
        <v>80044</v>
      </c>
      <c r="F35" s="462">
        <f t="shared" si="17"/>
        <v>33433</v>
      </c>
      <c r="G35" s="546">
        <f>(22696-70-50+500)+(9300-350+500+150)+757</f>
        <v>33433</v>
      </c>
      <c r="H35" s="462"/>
      <c r="I35" s="462"/>
      <c r="J35" s="462"/>
      <c r="K35" s="462"/>
      <c r="L35" s="462"/>
      <c r="M35" s="462">
        <f t="shared" si="10"/>
        <v>46611</v>
      </c>
      <c r="N35" s="547">
        <f>26652+19959</f>
        <v>46611</v>
      </c>
      <c r="O35" s="462"/>
      <c r="P35" s="462"/>
      <c r="Q35" s="462"/>
      <c r="R35" s="462"/>
      <c r="S35" s="549"/>
      <c r="T35" s="549">
        <f t="shared" si="15"/>
        <v>0</v>
      </c>
      <c r="U35" s="549">
        <f t="shared" si="24"/>
        <v>0</v>
      </c>
      <c r="V35" s="549"/>
      <c r="W35" s="549">
        <f t="shared" si="18"/>
        <v>0</v>
      </c>
      <c r="X35" s="546">
        <f t="shared" si="19"/>
        <v>0</v>
      </c>
      <c r="Z35" s="500">
        <f>V8-Z34</f>
        <v>796106</v>
      </c>
    </row>
    <row r="36" spans="1:26">
      <c r="A36" s="431" t="s">
        <v>433</v>
      </c>
      <c r="B36" s="436" t="s">
        <v>437</v>
      </c>
      <c r="C36" s="488">
        <v>90236</v>
      </c>
      <c r="D36" s="488"/>
      <c r="E36" s="488">
        <f>F36+M36</f>
        <v>77101</v>
      </c>
      <c r="F36" s="462">
        <f t="shared" si="17"/>
        <v>14820</v>
      </c>
      <c r="G36" s="546">
        <v>14820</v>
      </c>
      <c r="H36" s="462"/>
      <c r="I36" s="462"/>
      <c r="J36" s="462"/>
      <c r="K36" s="462"/>
      <c r="L36" s="462"/>
      <c r="M36" s="462">
        <f t="shared" si="10"/>
        <v>62281</v>
      </c>
      <c r="N36" s="547">
        <f>75416-75416+58777-2412-2264+1500+6680</f>
        <v>62281</v>
      </c>
      <c r="O36" s="462"/>
      <c r="P36" s="462"/>
      <c r="Q36" s="462"/>
      <c r="R36" s="462"/>
      <c r="S36" s="549"/>
      <c r="T36" s="549">
        <f t="shared" si="15"/>
        <v>0</v>
      </c>
      <c r="U36" s="549">
        <f t="shared" si="24"/>
        <v>0</v>
      </c>
      <c r="V36" s="549"/>
      <c r="W36" s="549">
        <f t="shared" si="18"/>
        <v>0</v>
      </c>
      <c r="X36" s="546">
        <f t="shared" si="19"/>
        <v>0</v>
      </c>
      <c r="Z36" s="500">
        <f>Z35-V25-V21</f>
        <v>552106</v>
      </c>
    </row>
    <row r="37" spans="1:26">
      <c r="A37" s="431" t="s">
        <v>470</v>
      </c>
      <c r="B37" s="436" t="s">
        <v>499</v>
      </c>
      <c r="C37" s="488"/>
      <c r="D37" s="488"/>
      <c r="E37" s="488">
        <f>F37+M37</f>
        <v>0</v>
      </c>
      <c r="F37" s="462">
        <f t="shared" si="17"/>
        <v>0</v>
      </c>
      <c r="G37" s="546"/>
      <c r="H37" s="462"/>
      <c r="I37" s="462"/>
      <c r="J37" s="462"/>
      <c r="K37" s="462"/>
      <c r="L37" s="462"/>
      <c r="M37" s="462">
        <f t="shared" si="10"/>
        <v>0</v>
      </c>
      <c r="N37" s="546"/>
      <c r="O37" s="462"/>
      <c r="P37" s="462"/>
      <c r="Q37" s="462"/>
      <c r="R37" s="462"/>
      <c r="S37" s="549"/>
      <c r="T37" s="549">
        <f t="shared" si="15"/>
        <v>0</v>
      </c>
      <c r="U37" s="549">
        <f t="shared" si="24"/>
        <v>0</v>
      </c>
      <c r="V37" s="549"/>
      <c r="W37" s="549">
        <f t="shared" si="18"/>
        <v>0</v>
      </c>
      <c r="X37" s="546">
        <f t="shared" si="19"/>
        <v>0</v>
      </c>
    </row>
    <row r="38" spans="1:26">
      <c r="A38" s="431"/>
      <c r="B38" s="436" t="s">
        <v>511</v>
      </c>
      <c r="C38" s="488"/>
      <c r="D38" s="488"/>
      <c r="E38" s="488">
        <f t="shared" ref="E38:E40" si="38">F38+M38</f>
        <v>0</v>
      </c>
      <c r="F38" s="462">
        <f t="shared" ref="F38:F40" si="39">SUM(G38:L38)</f>
        <v>0</v>
      </c>
      <c r="G38" s="546"/>
      <c r="H38" s="462"/>
      <c r="I38" s="462"/>
      <c r="J38" s="462"/>
      <c r="K38" s="462"/>
      <c r="L38" s="462"/>
      <c r="M38" s="462">
        <f t="shared" ref="M38:M40" si="40">SUM(N38:R38)</f>
        <v>0</v>
      </c>
      <c r="N38" s="546"/>
      <c r="O38" s="462"/>
      <c r="P38" s="462"/>
      <c r="Q38" s="462"/>
      <c r="R38" s="462"/>
      <c r="S38" s="549"/>
      <c r="T38" s="549">
        <f t="shared" si="15"/>
        <v>0</v>
      </c>
      <c r="U38" s="549">
        <f t="shared" si="24"/>
        <v>0</v>
      </c>
      <c r="V38" s="549"/>
      <c r="W38" s="549">
        <f t="shared" si="18"/>
        <v>0</v>
      </c>
      <c r="X38" s="546">
        <f t="shared" si="19"/>
        <v>0</v>
      </c>
    </row>
    <row r="39" spans="1:26" s="579" customFormat="1">
      <c r="A39" s="587"/>
      <c r="B39" s="588" t="s">
        <v>463</v>
      </c>
      <c r="C39" s="546"/>
      <c r="D39" s="546"/>
      <c r="E39" s="546">
        <f t="shared" si="38"/>
        <v>5584</v>
      </c>
      <c r="F39" s="546">
        <f t="shared" si="39"/>
        <v>5584</v>
      </c>
      <c r="G39" s="546"/>
      <c r="H39" s="546"/>
      <c r="I39" s="546"/>
      <c r="J39" s="546"/>
      <c r="K39" s="546"/>
      <c r="L39" s="546">
        <f>X39</f>
        <v>5584</v>
      </c>
      <c r="M39" s="546">
        <f t="shared" si="40"/>
        <v>0</v>
      </c>
      <c r="N39" s="546"/>
      <c r="O39" s="546"/>
      <c r="P39" s="546"/>
      <c r="Q39" s="546"/>
      <c r="R39" s="546"/>
      <c r="S39" s="549"/>
      <c r="T39" s="549">
        <f t="shared" si="15"/>
        <v>0</v>
      </c>
      <c r="U39" s="549">
        <f t="shared" si="24"/>
        <v>0</v>
      </c>
      <c r="V39" s="549">
        <v>5584</v>
      </c>
      <c r="W39" s="549">
        <f t="shared" si="18"/>
        <v>0</v>
      </c>
      <c r="X39" s="546">
        <f t="shared" si="19"/>
        <v>5584</v>
      </c>
    </row>
    <row r="40" spans="1:26">
      <c r="A40" s="431"/>
      <c r="B40" s="436" t="s">
        <v>513</v>
      </c>
      <c r="C40" s="488"/>
      <c r="D40" s="488"/>
      <c r="E40" s="488">
        <f t="shared" si="38"/>
        <v>0</v>
      </c>
      <c r="F40" s="462">
        <f t="shared" si="39"/>
        <v>0</v>
      </c>
      <c r="G40" s="546"/>
      <c r="H40" s="462"/>
      <c r="I40" s="462"/>
      <c r="J40" s="462"/>
      <c r="K40" s="462"/>
      <c r="L40" s="462"/>
      <c r="M40" s="462">
        <f t="shared" si="40"/>
        <v>0</v>
      </c>
      <c r="N40" s="546"/>
      <c r="O40" s="462"/>
      <c r="P40" s="462"/>
      <c r="Q40" s="462"/>
      <c r="R40" s="462"/>
      <c r="S40" s="549"/>
      <c r="T40" s="549">
        <f t="shared" si="15"/>
        <v>0</v>
      </c>
      <c r="U40" s="549">
        <f t="shared" si="24"/>
        <v>0</v>
      </c>
      <c r="V40" s="549"/>
      <c r="W40" s="549">
        <f t="shared" si="18"/>
        <v>0</v>
      </c>
      <c r="X40" s="546">
        <f t="shared" si="19"/>
        <v>0</v>
      </c>
    </row>
    <row r="41" spans="1:26">
      <c r="A41" s="431"/>
      <c r="B41" s="480" t="s">
        <v>402</v>
      </c>
      <c r="C41" s="488">
        <v>7760</v>
      </c>
      <c r="D41" s="488"/>
      <c r="E41" s="488">
        <f>F41+M41</f>
        <v>19825</v>
      </c>
      <c r="F41" s="462">
        <f t="shared" si="17"/>
        <v>19825</v>
      </c>
      <c r="G41" s="546"/>
      <c r="H41" s="462"/>
      <c r="I41" s="462"/>
      <c r="J41" s="462"/>
      <c r="K41" s="462"/>
      <c r="L41" s="462">
        <f>19975-150</f>
        <v>19825</v>
      </c>
      <c r="M41" s="462">
        <f t="shared" si="10"/>
        <v>0</v>
      </c>
      <c r="N41" s="546"/>
      <c r="O41" s="462"/>
      <c r="P41" s="462"/>
      <c r="Q41" s="462"/>
      <c r="R41" s="462"/>
      <c r="S41" s="549"/>
      <c r="T41" s="549"/>
      <c r="U41" s="549"/>
      <c r="V41" s="549"/>
      <c r="W41" s="549">
        <f t="shared" si="18"/>
        <v>0</v>
      </c>
      <c r="X41" s="546">
        <f t="shared" si="19"/>
        <v>0</v>
      </c>
    </row>
    <row r="42" spans="1:26" s="494" customFormat="1" ht="17.25">
      <c r="A42" s="568">
        <v>2</v>
      </c>
      <c r="B42" s="433" t="s">
        <v>388</v>
      </c>
      <c r="C42" s="489">
        <f>SUM(C43:C49)</f>
        <v>78850</v>
      </c>
      <c r="D42" s="489">
        <f>E42-C42-E45-E46-E47-E48</f>
        <v>0</v>
      </c>
      <c r="E42" s="489">
        <f>SUM(E43:E49)</f>
        <v>82512</v>
      </c>
      <c r="F42" s="489">
        <f t="shared" si="17"/>
        <v>34752</v>
      </c>
      <c r="G42" s="549">
        <f>SUM(G43:G49)</f>
        <v>12100</v>
      </c>
      <c r="H42" s="489">
        <f t="shared" ref="H42" si="41">SUM(H43:H49)</f>
        <v>0</v>
      </c>
      <c r="I42" s="489">
        <f t="shared" ref="I42" si="42">SUM(I43:I49)</f>
        <v>0</v>
      </c>
      <c r="J42" s="489">
        <f t="shared" ref="J42" si="43">SUM(J43:J49)</f>
        <v>2000</v>
      </c>
      <c r="K42" s="489">
        <f t="shared" ref="K42" si="44">SUM(K43:K49)</f>
        <v>0</v>
      </c>
      <c r="L42" s="489">
        <f>SUM(L43:L49)</f>
        <v>20652</v>
      </c>
      <c r="M42" s="489">
        <f t="shared" si="10"/>
        <v>47760</v>
      </c>
      <c r="N42" s="549">
        <f>SUM(N43:N49)</f>
        <v>47760</v>
      </c>
      <c r="O42" s="489">
        <f t="shared" ref="O42" si="45">SUM(O43:O49)</f>
        <v>0</v>
      </c>
      <c r="P42" s="489">
        <f t="shared" ref="P42" si="46">SUM(P43:P49)</f>
        <v>0</v>
      </c>
      <c r="Q42" s="489">
        <f>SUM(Q43:Q49)</f>
        <v>0</v>
      </c>
      <c r="R42" s="489">
        <f>SUM(R43:R49)</f>
        <v>0</v>
      </c>
      <c r="S42" s="549"/>
      <c r="T42" s="549">
        <f t="shared" si="15"/>
        <v>0</v>
      </c>
      <c r="U42" s="549">
        <f t="shared" si="24"/>
        <v>0</v>
      </c>
      <c r="V42" s="549">
        <f>SUM(V43:V49)</f>
        <v>3662</v>
      </c>
      <c r="W42" s="549">
        <f t="shared" si="18"/>
        <v>2000</v>
      </c>
      <c r="X42" s="546">
        <f t="shared" si="19"/>
        <v>1662</v>
      </c>
    </row>
    <row r="43" spans="1:26">
      <c r="A43" s="431" t="s">
        <v>433</v>
      </c>
      <c r="B43" s="436" t="s">
        <v>455</v>
      </c>
      <c r="C43" s="488">
        <v>37029</v>
      </c>
      <c r="D43" s="488"/>
      <c r="E43" s="488">
        <f>F43+M43</f>
        <v>38912</v>
      </c>
      <c r="F43" s="462">
        <f t="shared" si="17"/>
        <v>12100</v>
      </c>
      <c r="G43" s="546">
        <f>10217-10217+11600+500</f>
        <v>12100</v>
      </c>
      <c r="H43" s="462"/>
      <c r="I43" s="462"/>
      <c r="J43" s="462"/>
      <c r="K43" s="462"/>
      <c r="L43" s="462"/>
      <c r="M43" s="462">
        <f t="shared" si="10"/>
        <v>26812</v>
      </c>
      <c r="N43" s="546">
        <v>26812</v>
      </c>
      <c r="O43" s="462"/>
      <c r="P43" s="462"/>
      <c r="Q43" s="462"/>
      <c r="R43" s="462"/>
      <c r="S43" s="549"/>
      <c r="T43" s="549">
        <f t="shared" si="15"/>
        <v>0</v>
      </c>
      <c r="U43" s="549">
        <f t="shared" si="24"/>
        <v>0</v>
      </c>
      <c r="V43" s="549"/>
      <c r="W43" s="549">
        <f t="shared" si="18"/>
        <v>0</v>
      </c>
      <c r="X43" s="546">
        <f t="shared" si="19"/>
        <v>0</v>
      </c>
    </row>
    <row r="44" spans="1:26">
      <c r="A44" s="431" t="s">
        <v>433</v>
      </c>
      <c r="B44" s="436" t="s">
        <v>456</v>
      </c>
      <c r="C44" s="488">
        <v>20461</v>
      </c>
      <c r="D44" s="488"/>
      <c r="E44" s="488">
        <f>F44+M44</f>
        <v>20948</v>
      </c>
      <c r="F44" s="462">
        <f t="shared" si="17"/>
        <v>0</v>
      </c>
      <c r="G44" s="546">
        <f>2983-2983</f>
        <v>0</v>
      </c>
      <c r="H44" s="462"/>
      <c r="I44" s="462"/>
      <c r="J44" s="462"/>
      <c r="K44" s="462"/>
      <c r="L44" s="462"/>
      <c r="M44" s="462">
        <f t="shared" si="10"/>
        <v>20948</v>
      </c>
      <c r="N44" s="546">
        <f>17478-17478+15289-513-319-189+6680</f>
        <v>20948</v>
      </c>
      <c r="O44" s="462"/>
      <c r="P44" s="462"/>
      <c r="Q44" s="462"/>
      <c r="R44" s="462"/>
      <c r="S44" s="549"/>
      <c r="T44" s="549">
        <f t="shared" si="15"/>
        <v>0</v>
      </c>
      <c r="U44" s="549">
        <f t="shared" si="24"/>
        <v>0</v>
      </c>
      <c r="V44" s="549"/>
      <c r="W44" s="549">
        <f t="shared" si="18"/>
        <v>0</v>
      </c>
      <c r="X44" s="546">
        <f t="shared" si="19"/>
        <v>0</v>
      </c>
    </row>
    <row r="45" spans="1:26">
      <c r="A45" s="431" t="s">
        <v>470</v>
      </c>
      <c r="B45" s="436" t="s">
        <v>499</v>
      </c>
      <c r="C45" s="488"/>
      <c r="D45" s="488"/>
      <c r="E45" s="488">
        <f>F45+M45</f>
        <v>0</v>
      </c>
      <c r="F45" s="462">
        <f t="shared" ref="F45:F48" si="47">SUM(G45:L45)</f>
        <v>0</v>
      </c>
      <c r="G45" s="546"/>
      <c r="H45" s="462"/>
      <c r="I45" s="462"/>
      <c r="J45" s="462"/>
      <c r="K45" s="462"/>
      <c r="L45" s="462"/>
      <c r="M45" s="462">
        <f t="shared" ref="M45:M48" si="48">SUM(N45:R45)</f>
        <v>0</v>
      </c>
      <c r="N45" s="546"/>
      <c r="O45" s="462"/>
      <c r="P45" s="462"/>
      <c r="Q45" s="462"/>
      <c r="R45" s="462"/>
      <c r="S45" s="549"/>
      <c r="T45" s="549">
        <f t="shared" si="15"/>
        <v>0</v>
      </c>
      <c r="U45" s="549">
        <f t="shared" si="24"/>
        <v>0</v>
      </c>
      <c r="V45" s="549"/>
      <c r="W45" s="549">
        <f t="shared" si="18"/>
        <v>0</v>
      </c>
      <c r="X45" s="546">
        <f t="shared" si="19"/>
        <v>0</v>
      </c>
    </row>
    <row r="46" spans="1:26">
      <c r="A46" s="431"/>
      <c r="B46" s="436" t="s">
        <v>511</v>
      </c>
      <c r="C46" s="488"/>
      <c r="D46" s="488"/>
      <c r="E46" s="488">
        <f t="shared" ref="E46:E48" si="49">F46+M46</f>
        <v>0</v>
      </c>
      <c r="F46" s="462">
        <f t="shared" si="47"/>
        <v>0</v>
      </c>
      <c r="G46" s="546"/>
      <c r="H46" s="462"/>
      <c r="I46" s="462"/>
      <c r="J46" s="462"/>
      <c r="K46" s="462"/>
      <c r="L46" s="462"/>
      <c r="M46" s="462">
        <f t="shared" si="48"/>
        <v>0</v>
      </c>
      <c r="N46" s="546"/>
      <c r="O46" s="462"/>
      <c r="P46" s="462"/>
      <c r="Q46" s="462"/>
      <c r="R46" s="462"/>
      <c r="S46" s="549"/>
      <c r="T46" s="549">
        <f t="shared" si="15"/>
        <v>0</v>
      </c>
      <c r="U46" s="549">
        <f t="shared" si="24"/>
        <v>0</v>
      </c>
      <c r="V46" s="549"/>
      <c r="W46" s="549">
        <f t="shared" si="18"/>
        <v>0</v>
      </c>
      <c r="X46" s="546">
        <f t="shared" si="19"/>
        <v>0</v>
      </c>
    </row>
    <row r="47" spans="1:26" s="579" customFormat="1">
      <c r="A47" s="587"/>
      <c r="B47" s="588" t="s">
        <v>463</v>
      </c>
      <c r="C47" s="546"/>
      <c r="D47" s="546"/>
      <c r="E47" s="546">
        <f t="shared" si="49"/>
        <v>3662</v>
      </c>
      <c r="F47" s="546">
        <f t="shared" si="47"/>
        <v>3662</v>
      </c>
      <c r="G47" s="546"/>
      <c r="H47" s="546"/>
      <c r="I47" s="546"/>
      <c r="J47" s="546">
        <v>2000</v>
      </c>
      <c r="K47" s="546"/>
      <c r="L47" s="546">
        <f>X47</f>
        <v>1662</v>
      </c>
      <c r="M47" s="546">
        <f t="shared" si="48"/>
        <v>0</v>
      </c>
      <c r="N47" s="546"/>
      <c r="O47" s="546"/>
      <c r="P47" s="546"/>
      <c r="Q47" s="546"/>
      <c r="R47" s="546"/>
      <c r="S47" s="549"/>
      <c r="T47" s="549">
        <f t="shared" si="15"/>
        <v>0</v>
      </c>
      <c r="U47" s="549">
        <f t="shared" si="24"/>
        <v>0</v>
      </c>
      <c r="V47" s="549">
        <v>3662</v>
      </c>
      <c r="W47" s="549">
        <f t="shared" si="18"/>
        <v>2000</v>
      </c>
      <c r="X47" s="546">
        <f t="shared" si="19"/>
        <v>1662</v>
      </c>
    </row>
    <row r="48" spans="1:26">
      <c r="A48" s="431"/>
      <c r="B48" s="436" t="s">
        <v>513</v>
      </c>
      <c r="C48" s="488"/>
      <c r="D48" s="488"/>
      <c r="E48" s="488">
        <f t="shared" si="49"/>
        <v>0</v>
      </c>
      <c r="F48" s="462">
        <f t="shared" si="47"/>
        <v>0</v>
      </c>
      <c r="G48" s="546"/>
      <c r="H48" s="462"/>
      <c r="I48" s="462"/>
      <c r="J48" s="462"/>
      <c r="K48" s="462"/>
      <c r="L48" s="462"/>
      <c r="M48" s="462">
        <f t="shared" si="48"/>
        <v>0</v>
      </c>
      <c r="N48" s="546"/>
      <c r="O48" s="462"/>
      <c r="P48" s="462"/>
      <c r="Q48" s="462"/>
      <c r="R48" s="462"/>
      <c r="S48" s="549"/>
      <c r="T48" s="549">
        <f t="shared" si="15"/>
        <v>0</v>
      </c>
      <c r="U48" s="549">
        <f t="shared" si="24"/>
        <v>0</v>
      </c>
      <c r="V48" s="549"/>
      <c r="W48" s="549">
        <f t="shared" si="18"/>
        <v>0</v>
      </c>
      <c r="X48" s="546">
        <f t="shared" si="19"/>
        <v>0</v>
      </c>
    </row>
    <row r="49" spans="1:24">
      <c r="A49" s="431"/>
      <c r="B49" s="480" t="s">
        <v>402</v>
      </c>
      <c r="C49" s="488">
        <v>21360</v>
      </c>
      <c r="D49" s="488"/>
      <c r="E49" s="488">
        <f t="shared" ref="E49:E64" si="50">F49+M49</f>
        <v>18990</v>
      </c>
      <c r="F49" s="462">
        <f t="shared" si="17"/>
        <v>18990</v>
      </c>
      <c r="G49" s="546"/>
      <c r="H49" s="462"/>
      <c r="I49" s="462"/>
      <c r="J49" s="462"/>
      <c r="K49" s="462"/>
      <c r="L49" s="462">
        <v>18990</v>
      </c>
      <c r="M49" s="462">
        <f t="shared" si="10"/>
        <v>0</v>
      </c>
      <c r="N49" s="546"/>
      <c r="O49" s="462"/>
      <c r="P49" s="462"/>
      <c r="Q49" s="462"/>
      <c r="R49" s="462"/>
      <c r="S49" s="549"/>
      <c r="T49" s="549">
        <f t="shared" si="15"/>
        <v>0</v>
      </c>
      <c r="U49" s="549">
        <f t="shared" si="24"/>
        <v>0</v>
      </c>
      <c r="V49" s="549"/>
      <c r="W49" s="549">
        <f t="shared" si="18"/>
        <v>0</v>
      </c>
      <c r="X49" s="546">
        <f t="shared" si="19"/>
        <v>0</v>
      </c>
    </row>
    <row r="50" spans="1:24" s="434" customFormat="1">
      <c r="A50" s="568">
        <v>3</v>
      </c>
      <c r="B50" s="433" t="s">
        <v>389</v>
      </c>
      <c r="C50" s="489">
        <f>C51+C54+SUM(C57:C71)</f>
        <v>3939758</v>
      </c>
      <c r="D50" s="489">
        <f>E50-C50-E64-E65-E66-E67-E69</f>
        <v>16818</v>
      </c>
      <c r="E50" s="489">
        <f>E51+E54+SUM(E57:E71)</f>
        <v>4328909</v>
      </c>
      <c r="F50" s="489">
        <f>SUM(G50:L50)</f>
        <v>1260884</v>
      </c>
      <c r="G50" s="549">
        <f>G51+G54+SUM(G57:G71)</f>
        <v>654131</v>
      </c>
      <c r="H50" s="489">
        <f t="shared" ref="H50" si="51">H51+H54+SUM(H57:H71)</f>
        <v>0</v>
      </c>
      <c r="I50" s="489">
        <f t="shared" ref="I50" si="52">I51+I54+SUM(I57:I71)</f>
        <v>0</v>
      </c>
      <c r="J50" s="489">
        <f t="shared" ref="J50" si="53">J51+J54+SUM(J57:J71)</f>
        <v>3823</v>
      </c>
      <c r="K50" s="489">
        <f t="shared" ref="K50" si="54">K51+K54+SUM(K57:K71)</f>
        <v>0</v>
      </c>
      <c r="L50" s="489">
        <f>L51+L54+SUM(L57:L71)</f>
        <v>602930</v>
      </c>
      <c r="M50" s="489">
        <f t="shared" si="10"/>
        <v>3068025</v>
      </c>
      <c r="N50" s="549">
        <f>N51+N54+SUM(N57:N71)</f>
        <v>2770852</v>
      </c>
      <c r="O50" s="489">
        <f t="shared" ref="O50" si="55">O51+O54+SUM(O57:O71)</f>
        <v>0</v>
      </c>
      <c r="P50" s="489">
        <f t="shared" ref="P50" si="56">P51+P54+SUM(P57:P71)</f>
        <v>111190</v>
      </c>
      <c r="Q50" s="489">
        <f>Q51+Q54+SUM(Q57:Q71)</f>
        <v>0</v>
      </c>
      <c r="R50" s="489">
        <f>R51+R54+SUM(R57:R71)</f>
        <v>185983</v>
      </c>
      <c r="S50" s="549"/>
      <c r="T50" s="549">
        <f t="shared" si="15"/>
        <v>0</v>
      </c>
      <c r="U50" s="549">
        <f t="shared" si="24"/>
        <v>0</v>
      </c>
      <c r="V50" s="549">
        <f>V51+V54+SUM(V57:V71)</f>
        <v>332295</v>
      </c>
      <c r="W50" s="549">
        <f>J50+P50</f>
        <v>115013</v>
      </c>
      <c r="X50" s="546">
        <f>V50-W50</f>
        <v>217282</v>
      </c>
    </row>
    <row r="51" spans="1:24">
      <c r="A51" s="431" t="s">
        <v>433</v>
      </c>
      <c r="B51" s="436" t="s">
        <v>435</v>
      </c>
      <c r="C51" s="488">
        <f>C52+C53</f>
        <v>3134345</v>
      </c>
      <c r="D51" s="488"/>
      <c r="E51" s="488">
        <f t="shared" si="50"/>
        <v>3237394</v>
      </c>
      <c r="F51" s="462">
        <f t="shared" si="17"/>
        <v>491934</v>
      </c>
      <c r="G51" s="546">
        <f>G52+G53</f>
        <v>491934</v>
      </c>
      <c r="H51" s="462">
        <f t="shared" ref="H51:K51" si="57">H52+H53</f>
        <v>0</v>
      </c>
      <c r="I51" s="462">
        <f t="shared" ref="I51" si="58">I52+I53</f>
        <v>0</v>
      </c>
      <c r="J51" s="462">
        <f t="shared" ref="J51" si="59">J52+J53</f>
        <v>0</v>
      </c>
      <c r="K51" s="462">
        <f t="shared" si="57"/>
        <v>0</v>
      </c>
      <c r="L51" s="462">
        <f>L52+L53</f>
        <v>0</v>
      </c>
      <c r="M51" s="462">
        <f t="shared" si="10"/>
        <v>2745460</v>
      </c>
      <c r="N51" s="546">
        <f>N52+N53</f>
        <v>2745460</v>
      </c>
      <c r="O51" s="462">
        <f t="shared" ref="O51" si="60">O52+O53</f>
        <v>0</v>
      </c>
      <c r="P51" s="462">
        <f t="shared" ref="P51" si="61">P52+P53</f>
        <v>0</v>
      </c>
      <c r="Q51" s="462">
        <f>Q52+Q53</f>
        <v>0</v>
      </c>
      <c r="R51" s="462">
        <f>R52+R53</f>
        <v>0</v>
      </c>
      <c r="S51" s="549"/>
      <c r="T51" s="549">
        <f t="shared" si="15"/>
        <v>0</v>
      </c>
      <c r="U51" s="549">
        <f t="shared" si="24"/>
        <v>0</v>
      </c>
      <c r="V51" s="549"/>
      <c r="W51" s="549">
        <f t="shared" si="18"/>
        <v>0</v>
      </c>
      <c r="X51" s="546">
        <f t="shared" si="19"/>
        <v>0</v>
      </c>
    </row>
    <row r="52" spans="1:24" s="424" customFormat="1">
      <c r="A52" s="432"/>
      <c r="B52" s="435" t="s">
        <v>37</v>
      </c>
      <c r="C52" s="488">
        <v>2930334</v>
      </c>
      <c r="D52" s="488"/>
      <c r="E52" s="488">
        <f t="shared" si="50"/>
        <v>2928375</v>
      </c>
      <c r="F52" s="460">
        <f t="shared" si="17"/>
        <v>356428</v>
      </c>
      <c r="G52" s="547">
        <f>301770+34355+13789+6514</f>
        <v>356428</v>
      </c>
      <c r="H52" s="460"/>
      <c r="I52" s="460"/>
      <c r="J52" s="460"/>
      <c r="K52" s="460"/>
      <c r="L52" s="460"/>
      <c r="M52" s="460">
        <f t="shared" si="10"/>
        <v>2571947</v>
      </c>
      <c r="N52" s="547">
        <v>2571947</v>
      </c>
      <c r="O52" s="460"/>
      <c r="P52" s="460"/>
      <c r="Q52" s="460"/>
      <c r="R52" s="460"/>
      <c r="S52" s="549"/>
      <c r="T52" s="549">
        <f t="shared" si="15"/>
        <v>0</v>
      </c>
      <c r="U52" s="549">
        <f t="shared" si="24"/>
        <v>0</v>
      </c>
      <c r="V52" s="549"/>
      <c r="W52" s="549">
        <f t="shared" si="18"/>
        <v>0</v>
      </c>
      <c r="X52" s="546">
        <f t="shared" si="19"/>
        <v>0</v>
      </c>
    </row>
    <row r="53" spans="1:24" s="424" customFormat="1">
      <c r="A53" s="432"/>
      <c r="B53" s="435" t="s">
        <v>442</v>
      </c>
      <c r="C53" s="488">
        <v>204011</v>
      </c>
      <c r="D53" s="488"/>
      <c r="E53" s="488">
        <f t="shared" si="50"/>
        <v>309019</v>
      </c>
      <c r="F53" s="460">
        <f t="shared" si="17"/>
        <v>135506</v>
      </c>
      <c r="G53" s="547">
        <f>68443+683+66380</f>
        <v>135506</v>
      </c>
      <c r="H53" s="460"/>
      <c r="I53" s="460"/>
      <c r="J53" s="460"/>
      <c r="K53" s="460"/>
      <c r="L53" s="460"/>
      <c r="M53" s="460">
        <f t="shared" si="10"/>
        <v>173513</v>
      </c>
      <c r="N53" s="547">
        <f>107730-107730+7463+16818-16818+73200+33850+59000</f>
        <v>173513</v>
      </c>
      <c r="O53" s="460"/>
      <c r="P53" s="460"/>
      <c r="Q53" s="460"/>
      <c r="R53" s="460"/>
      <c r="S53" s="549"/>
      <c r="T53" s="549">
        <f t="shared" si="15"/>
        <v>0</v>
      </c>
      <c r="U53" s="549">
        <f t="shared" si="24"/>
        <v>0</v>
      </c>
      <c r="V53" s="549"/>
      <c r="W53" s="549">
        <f t="shared" si="18"/>
        <v>0</v>
      </c>
      <c r="X53" s="546">
        <f t="shared" si="19"/>
        <v>0</v>
      </c>
    </row>
    <row r="54" spans="1:24">
      <c r="A54" s="431" t="s">
        <v>433</v>
      </c>
      <c r="B54" s="436" t="s">
        <v>434</v>
      </c>
      <c r="C54" s="488">
        <f>C55+C56</f>
        <v>188974</v>
      </c>
      <c r="D54" s="488"/>
      <c r="E54" s="488">
        <f t="shared" si="50"/>
        <v>151443</v>
      </c>
      <c r="F54" s="462">
        <f t="shared" si="17"/>
        <v>134625</v>
      </c>
      <c r="G54" s="546">
        <f>G55+G56</f>
        <v>134625</v>
      </c>
      <c r="H54" s="462">
        <f t="shared" ref="H54:K54" si="62">H55+H56</f>
        <v>0</v>
      </c>
      <c r="I54" s="462">
        <f t="shared" ref="I54" si="63">I55+I56</f>
        <v>0</v>
      </c>
      <c r="J54" s="462">
        <f t="shared" ref="J54" si="64">J55+J56</f>
        <v>0</v>
      </c>
      <c r="K54" s="462">
        <f t="shared" si="62"/>
        <v>0</v>
      </c>
      <c r="L54" s="462">
        <f>L55+L56</f>
        <v>0</v>
      </c>
      <c r="M54" s="462">
        <f t="shared" si="10"/>
        <v>16818</v>
      </c>
      <c r="N54" s="546">
        <f>N55+N56</f>
        <v>16818</v>
      </c>
      <c r="O54" s="462">
        <f t="shared" ref="O54" si="65">O55+O56</f>
        <v>0</v>
      </c>
      <c r="P54" s="462">
        <f t="shared" ref="P54" si="66">P55+P56</f>
        <v>0</v>
      </c>
      <c r="Q54" s="462">
        <f>Q55+Q56</f>
        <v>0</v>
      </c>
      <c r="R54" s="462">
        <f>R55+R56</f>
        <v>0</v>
      </c>
      <c r="S54" s="549"/>
      <c r="T54" s="549">
        <f t="shared" si="15"/>
        <v>0</v>
      </c>
      <c r="U54" s="549">
        <f t="shared" si="24"/>
        <v>0</v>
      </c>
      <c r="V54" s="549"/>
      <c r="W54" s="549">
        <f t="shared" si="18"/>
        <v>0</v>
      </c>
      <c r="X54" s="546">
        <f t="shared" si="19"/>
        <v>0</v>
      </c>
    </row>
    <row r="55" spans="1:24" s="424" customFormat="1">
      <c r="A55" s="432"/>
      <c r="B55" s="435" t="s">
        <v>37</v>
      </c>
      <c r="C55" s="488">
        <v>125241</v>
      </c>
      <c r="D55" s="488"/>
      <c r="E55" s="488">
        <f t="shared" si="50"/>
        <v>103337</v>
      </c>
      <c r="F55" s="460">
        <f t="shared" si="17"/>
        <v>86519</v>
      </c>
      <c r="G55" s="547">
        <f>90851-3964-368</f>
        <v>86519</v>
      </c>
      <c r="H55" s="460"/>
      <c r="I55" s="460"/>
      <c r="J55" s="460"/>
      <c r="K55" s="460"/>
      <c r="L55" s="460"/>
      <c r="M55" s="460">
        <f t="shared" si="10"/>
        <v>16818</v>
      </c>
      <c r="N55" s="547">
        <v>16818</v>
      </c>
      <c r="O55" s="460"/>
      <c r="P55" s="460"/>
      <c r="Q55" s="460"/>
      <c r="R55" s="460"/>
      <c r="S55" s="549"/>
      <c r="T55" s="549">
        <f t="shared" si="15"/>
        <v>0</v>
      </c>
      <c r="U55" s="549">
        <f t="shared" si="24"/>
        <v>0</v>
      </c>
      <c r="V55" s="549"/>
      <c r="W55" s="549">
        <f t="shared" si="18"/>
        <v>0</v>
      </c>
      <c r="X55" s="546">
        <f t="shared" si="19"/>
        <v>0</v>
      </c>
    </row>
    <row r="56" spans="1:24" s="424" customFormat="1">
      <c r="A56" s="432"/>
      <c r="B56" s="435" t="s">
        <v>437</v>
      </c>
      <c r="C56" s="488">
        <v>63733</v>
      </c>
      <c r="D56" s="488"/>
      <c r="E56" s="488">
        <f t="shared" si="50"/>
        <v>48106</v>
      </c>
      <c r="F56" s="460">
        <f t="shared" si="17"/>
        <v>48106</v>
      </c>
      <c r="G56" s="547">
        <f>(3863+1000+2409+622+8347+191+1000+7312+14245)+1270+7847</f>
        <v>48106</v>
      </c>
      <c r="H56" s="460"/>
      <c r="I56" s="460"/>
      <c r="J56" s="460"/>
      <c r="K56" s="460"/>
      <c r="L56" s="460"/>
      <c r="M56" s="460">
        <f t="shared" si="10"/>
        <v>0</v>
      </c>
      <c r="N56" s="547"/>
      <c r="O56" s="460"/>
      <c r="P56" s="460"/>
      <c r="Q56" s="460"/>
      <c r="R56" s="460"/>
      <c r="S56" s="549"/>
      <c r="T56" s="549">
        <f t="shared" si="15"/>
        <v>0</v>
      </c>
      <c r="U56" s="549">
        <f t="shared" si="24"/>
        <v>0</v>
      </c>
      <c r="V56" s="549"/>
      <c r="W56" s="549">
        <f t="shared" si="18"/>
        <v>0</v>
      </c>
      <c r="X56" s="546">
        <f t="shared" si="19"/>
        <v>0</v>
      </c>
    </row>
    <row r="57" spans="1:24" ht="31.5">
      <c r="A57" s="431" t="s">
        <v>433</v>
      </c>
      <c r="B57" s="108" t="s">
        <v>366</v>
      </c>
      <c r="C57" s="488">
        <v>51865</v>
      </c>
      <c r="D57" s="488"/>
      <c r="E57" s="488">
        <f>F57+M57</f>
        <v>51865</v>
      </c>
      <c r="F57" s="462">
        <f t="shared" si="17"/>
        <v>43291</v>
      </c>
      <c r="G57" s="546">
        <v>24425</v>
      </c>
      <c r="H57" s="462"/>
      <c r="I57" s="462"/>
      <c r="J57" s="462"/>
      <c r="K57" s="462"/>
      <c r="L57" s="462">
        <f>51865-M57-G57</f>
        <v>18866</v>
      </c>
      <c r="M57" s="462">
        <f t="shared" si="10"/>
        <v>8574</v>
      </c>
      <c r="N57" s="546">
        <f>20745-20745+21661-12706-381</f>
        <v>8574</v>
      </c>
      <c r="O57" s="462"/>
      <c r="P57" s="462"/>
      <c r="Q57" s="462"/>
      <c r="R57" s="462"/>
      <c r="S57" s="549"/>
      <c r="T57" s="549">
        <f t="shared" si="15"/>
        <v>0</v>
      </c>
      <c r="U57" s="549">
        <f t="shared" si="24"/>
        <v>0</v>
      </c>
      <c r="V57" s="546"/>
      <c r="W57" s="549">
        <f t="shared" si="18"/>
        <v>0</v>
      </c>
      <c r="X57" s="546">
        <f t="shared" si="19"/>
        <v>0</v>
      </c>
    </row>
    <row r="58" spans="1:24" ht="31.5">
      <c r="A58" s="431" t="s">
        <v>433</v>
      </c>
      <c r="B58" s="187" t="s">
        <v>367</v>
      </c>
      <c r="C58" s="488">
        <v>93557</v>
      </c>
      <c r="D58" s="488"/>
      <c r="E58" s="488">
        <f t="shared" si="50"/>
        <v>93557</v>
      </c>
      <c r="F58" s="462">
        <f t="shared" si="17"/>
        <v>93557</v>
      </c>
      <c r="G58" s="546"/>
      <c r="H58" s="462"/>
      <c r="I58" s="462"/>
      <c r="J58" s="462"/>
      <c r="K58" s="462"/>
      <c r="L58" s="462">
        <v>93557</v>
      </c>
      <c r="M58" s="462">
        <f t="shared" si="10"/>
        <v>0</v>
      </c>
      <c r="N58" s="546">
        <f>51070-51070</f>
        <v>0</v>
      </c>
      <c r="O58" s="462"/>
      <c r="P58" s="462"/>
      <c r="Q58" s="462"/>
      <c r="R58" s="462"/>
      <c r="S58" s="549"/>
      <c r="T58" s="549">
        <f t="shared" si="15"/>
        <v>0</v>
      </c>
      <c r="U58" s="549">
        <f t="shared" si="24"/>
        <v>0</v>
      </c>
      <c r="V58" s="546"/>
      <c r="W58" s="549">
        <f t="shared" si="18"/>
        <v>0</v>
      </c>
      <c r="X58" s="546">
        <f t="shared" si="19"/>
        <v>0</v>
      </c>
    </row>
    <row r="59" spans="1:24" ht="31.5">
      <c r="A59" s="431" t="s">
        <v>433</v>
      </c>
      <c r="B59" s="108" t="s">
        <v>215</v>
      </c>
      <c r="C59" s="488">
        <v>30697</v>
      </c>
      <c r="D59" s="488"/>
      <c r="E59" s="488">
        <f t="shared" si="50"/>
        <v>30697</v>
      </c>
      <c r="F59" s="462">
        <f t="shared" si="17"/>
        <v>30697</v>
      </c>
      <c r="G59" s="546"/>
      <c r="H59" s="462"/>
      <c r="I59" s="462"/>
      <c r="J59" s="462"/>
      <c r="K59" s="462"/>
      <c r="L59" s="462">
        <v>30697</v>
      </c>
      <c r="M59" s="462">
        <f t="shared" si="10"/>
        <v>0</v>
      </c>
      <c r="N59" s="546">
        <f>22440-22440</f>
        <v>0</v>
      </c>
      <c r="O59" s="462"/>
      <c r="P59" s="462"/>
      <c r="Q59" s="462"/>
      <c r="R59" s="462"/>
      <c r="S59" s="549"/>
      <c r="T59" s="549">
        <f t="shared" si="15"/>
        <v>0</v>
      </c>
      <c r="U59" s="549">
        <f t="shared" si="24"/>
        <v>0</v>
      </c>
      <c r="V59" s="546"/>
      <c r="W59" s="549">
        <f t="shared" si="18"/>
        <v>0</v>
      </c>
      <c r="X59" s="546">
        <f t="shared" si="19"/>
        <v>0</v>
      </c>
    </row>
    <row r="60" spans="1:24" ht="31.5">
      <c r="A60" s="431" t="s">
        <v>433</v>
      </c>
      <c r="B60" s="187" t="s">
        <v>218</v>
      </c>
      <c r="C60" s="488">
        <v>9867</v>
      </c>
      <c r="D60" s="488"/>
      <c r="E60" s="488">
        <f t="shared" si="50"/>
        <v>9867</v>
      </c>
      <c r="F60" s="462">
        <f t="shared" si="17"/>
        <v>9867</v>
      </c>
      <c r="G60" s="546">
        <f>559+30</f>
        <v>589</v>
      </c>
      <c r="H60" s="462"/>
      <c r="I60" s="462"/>
      <c r="J60" s="462"/>
      <c r="K60" s="462"/>
      <c r="L60" s="462">
        <f>9867-G60</f>
        <v>9278</v>
      </c>
      <c r="M60" s="462">
        <f t="shared" si="10"/>
        <v>0</v>
      </c>
      <c r="N60" s="546">
        <f>4186-4186</f>
        <v>0</v>
      </c>
      <c r="O60" s="462"/>
      <c r="P60" s="462"/>
      <c r="Q60" s="462"/>
      <c r="R60" s="462"/>
      <c r="S60" s="549"/>
      <c r="T60" s="549">
        <f t="shared" si="15"/>
        <v>0</v>
      </c>
      <c r="U60" s="549">
        <f t="shared" si="24"/>
        <v>0</v>
      </c>
      <c r="V60" s="546"/>
      <c r="W60" s="549">
        <f t="shared" si="18"/>
        <v>0</v>
      </c>
      <c r="X60" s="546">
        <f t="shared" si="19"/>
        <v>0</v>
      </c>
    </row>
    <row r="61" spans="1:24">
      <c r="A61" s="431" t="s">
        <v>433</v>
      </c>
      <c r="B61" s="187" t="s">
        <v>528</v>
      </c>
      <c r="C61" s="488">
        <v>0</v>
      </c>
      <c r="D61" s="488"/>
      <c r="E61" s="488">
        <f t="shared" si="50"/>
        <v>0</v>
      </c>
      <c r="F61" s="462">
        <f t="shared" si="17"/>
        <v>0</v>
      </c>
      <c r="G61" s="546"/>
      <c r="H61" s="462"/>
      <c r="I61" s="462"/>
      <c r="J61" s="462"/>
      <c r="K61" s="462"/>
      <c r="L61" s="462"/>
      <c r="M61" s="462">
        <f t="shared" si="10"/>
        <v>0</v>
      </c>
      <c r="N61" s="546"/>
      <c r="O61" s="462"/>
      <c r="P61" s="462"/>
      <c r="Q61" s="462"/>
      <c r="R61" s="462"/>
      <c r="S61" s="549"/>
      <c r="T61" s="549">
        <f t="shared" si="15"/>
        <v>0</v>
      </c>
      <c r="U61" s="549">
        <f t="shared" si="24"/>
        <v>0</v>
      </c>
      <c r="V61" s="549"/>
      <c r="W61" s="549">
        <f t="shared" si="18"/>
        <v>0</v>
      </c>
      <c r="X61" s="546">
        <f t="shared" si="19"/>
        <v>0</v>
      </c>
    </row>
    <row r="62" spans="1:24" ht="47.25">
      <c r="A62" s="431" t="s">
        <v>433</v>
      </c>
      <c r="B62" s="120" t="s">
        <v>220</v>
      </c>
      <c r="C62" s="488">
        <v>5481</v>
      </c>
      <c r="D62" s="488"/>
      <c r="E62" s="488">
        <f t="shared" si="50"/>
        <v>5481</v>
      </c>
      <c r="F62" s="462">
        <f t="shared" si="17"/>
        <v>5481</v>
      </c>
      <c r="G62" s="546">
        <v>2558</v>
      </c>
      <c r="H62" s="462"/>
      <c r="I62" s="462"/>
      <c r="J62" s="462"/>
      <c r="K62" s="462"/>
      <c r="L62" s="462">
        <f>5481-G62</f>
        <v>2923</v>
      </c>
      <c r="M62" s="462">
        <f t="shared" si="10"/>
        <v>0</v>
      </c>
      <c r="N62" s="546">
        <v>0</v>
      </c>
      <c r="O62" s="462"/>
      <c r="P62" s="462"/>
      <c r="Q62" s="462"/>
      <c r="R62" s="462"/>
      <c r="S62" s="549"/>
      <c r="T62" s="549">
        <f t="shared" si="15"/>
        <v>0</v>
      </c>
      <c r="U62" s="549">
        <f t="shared" si="24"/>
        <v>0</v>
      </c>
      <c r="V62" s="549"/>
      <c r="W62" s="549">
        <f t="shared" si="18"/>
        <v>0</v>
      </c>
      <c r="X62" s="546">
        <f t="shared" si="19"/>
        <v>0</v>
      </c>
    </row>
    <row r="63" spans="1:24">
      <c r="A63" s="431" t="s">
        <v>433</v>
      </c>
      <c r="B63" s="436" t="s">
        <v>441</v>
      </c>
      <c r="C63" s="488">
        <v>117000</v>
      </c>
      <c r="D63" s="488"/>
      <c r="E63" s="488">
        <f t="shared" si="50"/>
        <v>157000</v>
      </c>
      <c r="F63" s="462">
        <f t="shared" si="17"/>
        <v>157000</v>
      </c>
      <c r="G63" s="546"/>
      <c r="H63" s="462"/>
      <c r="I63" s="462"/>
      <c r="J63" s="462"/>
      <c r="K63" s="462"/>
      <c r="L63" s="462">
        <v>157000</v>
      </c>
      <c r="M63" s="462">
        <f t="shared" si="10"/>
        <v>0</v>
      </c>
      <c r="N63" s="546"/>
      <c r="O63" s="462"/>
      <c r="P63" s="462"/>
      <c r="Q63" s="462"/>
      <c r="R63" s="462"/>
      <c r="S63" s="549"/>
      <c r="T63" s="549">
        <f t="shared" si="15"/>
        <v>0</v>
      </c>
      <c r="U63" s="549">
        <f t="shared" si="24"/>
        <v>0</v>
      </c>
      <c r="V63" s="549"/>
      <c r="W63" s="549">
        <f t="shared" si="18"/>
        <v>0</v>
      </c>
      <c r="X63" s="546">
        <f t="shared" si="19"/>
        <v>0</v>
      </c>
    </row>
    <row r="64" spans="1:24">
      <c r="A64" s="431" t="s">
        <v>470</v>
      </c>
      <c r="B64" s="436" t="s">
        <v>499</v>
      </c>
      <c r="C64" s="488"/>
      <c r="D64" s="488"/>
      <c r="E64" s="488">
        <f t="shared" si="50"/>
        <v>0</v>
      </c>
      <c r="F64" s="462">
        <f t="shared" si="17"/>
        <v>0</v>
      </c>
      <c r="G64" s="546"/>
      <c r="H64" s="462"/>
      <c r="I64" s="462"/>
      <c r="J64" s="462"/>
      <c r="K64" s="462"/>
      <c r="L64" s="462"/>
      <c r="M64" s="462">
        <f t="shared" si="10"/>
        <v>0</v>
      </c>
      <c r="N64" s="546"/>
      <c r="O64" s="462"/>
      <c r="P64" s="462"/>
      <c r="Q64" s="462"/>
      <c r="R64" s="462"/>
      <c r="S64" s="549"/>
      <c r="T64" s="549">
        <f t="shared" si="15"/>
        <v>0</v>
      </c>
      <c r="U64" s="549">
        <f t="shared" si="24"/>
        <v>0</v>
      </c>
      <c r="V64" s="549"/>
      <c r="W64" s="549">
        <f t="shared" si="18"/>
        <v>0</v>
      </c>
      <c r="X64" s="546">
        <f t="shared" si="19"/>
        <v>0</v>
      </c>
    </row>
    <row r="65" spans="1:26">
      <c r="A65" s="431"/>
      <c r="B65" s="436" t="s">
        <v>511</v>
      </c>
      <c r="C65" s="488"/>
      <c r="D65" s="488"/>
      <c r="E65" s="488">
        <f t="shared" ref="E65:E67" si="67">F65+M65</f>
        <v>40038</v>
      </c>
      <c r="F65" s="462">
        <f t="shared" si="17"/>
        <v>0</v>
      </c>
      <c r="G65" s="546"/>
      <c r="H65" s="462"/>
      <c r="I65" s="462"/>
      <c r="J65" s="462"/>
      <c r="K65" s="462"/>
      <c r="L65" s="462"/>
      <c r="M65" s="462">
        <f t="shared" si="10"/>
        <v>40038</v>
      </c>
      <c r="N65" s="546"/>
      <c r="O65" s="462"/>
      <c r="P65" s="462"/>
      <c r="Q65" s="462"/>
      <c r="R65" s="462">
        <f>40038</f>
        <v>40038</v>
      </c>
      <c r="S65" s="549"/>
      <c r="T65" s="549">
        <f t="shared" si="15"/>
        <v>0</v>
      </c>
      <c r="U65" s="549">
        <f t="shared" si="24"/>
        <v>0</v>
      </c>
      <c r="V65" s="549"/>
      <c r="W65" s="549">
        <f t="shared" si="18"/>
        <v>0</v>
      </c>
      <c r="X65" s="546">
        <f t="shared" si="19"/>
        <v>0</v>
      </c>
    </row>
    <row r="66" spans="1:26" s="579" customFormat="1">
      <c r="A66" s="587"/>
      <c r="B66" s="588" t="s">
        <v>463</v>
      </c>
      <c r="C66" s="546"/>
      <c r="D66" s="546"/>
      <c r="E66" s="546">
        <f t="shared" si="67"/>
        <v>186350</v>
      </c>
      <c r="F66" s="546">
        <f t="shared" si="17"/>
        <v>75160</v>
      </c>
      <c r="G66" s="546"/>
      <c r="H66" s="546"/>
      <c r="I66" s="546"/>
      <c r="J66" s="546">
        <f>552+3271</f>
        <v>3823</v>
      </c>
      <c r="K66" s="546"/>
      <c r="L66" s="546">
        <f>X66</f>
        <v>71337</v>
      </c>
      <c r="M66" s="546">
        <f t="shared" si="10"/>
        <v>111190</v>
      </c>
      <c r="N66" s="546"/>
      <c r="O66" s="546"/>
      <c r="P66" s="546">
        <f>14240+3925+6576+12706+381+20138+53224</f>
        <v>111190</v>
      </c>
      <c r="Q66" s="546"/>
      <c r="R66" s="546"/>
      <c r="S66" s="549"/>
      <c r="T66" s="549">
        <f t="shared" si="15"/>
        <v>0</v>
      </c>
      <c r="U66" s="549">
        <f t="shared" si="24"/>
        <v>0</v>
      </c>
      <c r="V66" s="549">
        <f>12706+53224+20138+7131+3048+10853+17000+43100+381+230+1487+2813+14239</f>
        <v>186350</v>
      </c>
      <c r="W66" s="549">
        <f t="shared" si="18"/>
        <v>115013</v>
      </c>
      <c r="X66" s="546">
        <f t="shared" si="19"/>
        <v>71337</v>
      </c>
    </row>
    <row r="67" spans="1:26">
      <c r="A67" s="431"/>
      <c r="B67" s="436" t="s">
        <v>513</v>
      </c>
      <c r="C67" s="488"/>
      <c r="D67" s="488"/>
      <c r="E67" s="488">
        <f t="shared" si="67"/>
        <v>0</v>
      </c>
      <c r="F67" s="462">
        <f t="shared" si="17"/>
        <v>0</v>
      </c>
      <c r="G67" s="546"/>
      <c r="H67" s="462"/>
      <c r="I67" s="462"/>
      <c r="J67" s="462"/>
      <c r="K67" s="462"/>
      <c r="L67" s="462"/>
      <c r="M67" s="462">
        <f t="shared" si="10"/>
        <v>0</v>
      </c>
      <c r="N67" s="546"/>
      <c r="O67" s="462"/>
      <c r="P67" s="462"/>
      <c r="Q67" s="462"/>
      <c r="R67" s="462"/>
      <c r="S67" s="549"/>
      <c r="T67" s="549">
        <f t="shared" si="15"/>
        <v>0</v>
      </c>
      <c r="U67" s="549">
        <f t="shared" si="24"/>
        <v>0</v>
      </c>
      <c r="V67" s="549"/>
      <c r="W67" s="549">
        <f t="shared" si="18"/>
        <v>0</v>
      </c>
      <c r="X67" s="546">
        <f t="shared" si="19"/>
        <v>0</v>
      </c>
    </row>
    <row r="68" spans="1:26">
      <c r="A68" s="431" t="s">
        <v>433</v>
      </c>
      <c r="B68" s="436" t="s">
        <v>446</v>
      </c>
      <c r="C68" s="488">
        <v>3805</v>
      </c>
      <c r="D68" s="488"/>
      <c r="E68" s="488">
        <f>F68+M68</f>
        <v>12200</v>
      </c>
      <c r="F68" s="462">
        <f t="shared" si="17"/>
        <v>12200</v>
      </c>
      <c r="G68" s="546"/>
      <c r="H68" s="462"/>
      <c r="I68" s="462"/>
      <c r="J68" s="462"/>
      <c r="K68" s="462"/>
      <c r="L68" s="462">
        <f>3805+4195+4200</f>
        <v>12200</v>
      </c>
      <c r="M68" s="462">
        <f t="shared" si="10"/>
        <v>0</v>
      </c>
      <c r="N68" s="546"/>
      <c r="O68" s="462"/>
      <c r="P68" s="462"/>
      <c r="Q68" s="462"/>
      <c r="R68" s="462"/>
      <c r="S68" s="549"/>
      <c r="T68" s="549">
        <f t="shared" si="15"/>
        <v>0</v>
      </c>
      <c r="U68" s="549">
        <f t="shared" si="24"/>
        <v>0</v>
      </c>
      <c r="V68" s="549"/>
      <c r="W68" s="549">
        <f t="shared" si="18"/>
        <v>0</v>
      </c>
      <c r="X68" s="546">
        <f t="shared" si="19"/>
        <v>0</v>
      </c>
    </row>
    <row r="69" spans="1:26" s="651" customFormat="1" ht="31.5">
      <c r="A69" s="645" t="s">
        <v>433</v>
      </c>
      <c r="B69" s="646" t="s">
        <v>657</v>
      </c>
      <c r="C69" s="647">
        <v>0</v>
      </c>
      <c r="D69" s="647"/>
      <c r="E69" s="647">
        <f>F69+M69</f>
        <v>145945</v>
      </c>
      <c r="F69" s="648">
        <f t="shared" si="17"/>
        <v>0</v>
      </c>
      <c r="G69" s="649"/>
      <c r="H69" s="648"/>
      <c r="I69" s="648"/>
      <c r="J69" s="648"/>
      <c r="K69" s="648"/>
      <c r="L69" s="648">
        <f>V69-M69</f>
        <v>0</v>
      </c>
      <c r="M69" s="648">
        <f t="shared" si="10"/>
        <v>145945</v>
      </c>
      <c r="N69" s="649"/>
      <c r="O69" s="648"/>
      <c r="P69" s="648">
        <f>49300+69050-49300-69050</f>
        <v>0</v>
      </c>
      <c r="Q69" s="648"/>
      <c r="R69" s="648">
        <f>109800+36145</f>
        <v>145945</v>
      </c>
      <c r="S69" s="650"/>
      <c r="T69" s="650">
        <f t="shared" si="15"/>
        <v>0</v>
      </c>
      <c r="U69" s="650">
        <f t="shared" si="24"/>
        <v>0</v>
      </c>
      <c r="V69" s="648">
        <f>17000+35850+118350-25255</f>
        <v>145945</v>
      </c>
      <c r="W69" s="650">
        <f t="shared" si="18"/>
        <v>0</v>
      </c>
      <c r="X69" s="649">
        <f t="shared" si="19"/>
        <v>145945</v>
      </c>
      <c r="Z69" s="651">
        <v>171200</v>
      </c>
    </row>
    <row r="70" spans="1:26">
      <c r="A70" s="431" t="s">
        <v>433</v>
      </c>
      <c r="B70" s="436" t="s">
        <v>465</v>
      </c>
      <c r="C70" s="488">
        <v>173110</v>
      </c>
      <c r="D70" s="488"/>
      <c r="E70" s="488">
        <f>F70+M70</f>
        <v>0</v>
      </c>
      <c r="F70" s="462">
        <f t="shared" si="17"/>
        <v>0</v>
      </c>
      <c r="G70" s="546"/>
      <c r="H70" s="462"/>
      <c r="I70" s="462"/>
      <c r="J70" s="462"/>
      <c r="K70" s="462"/>
      <c r="L70" s="462"/>
      <c r="M70" s="462">
        <f t="shared" si="10"/>
        <v>0</v>
      </c>
      <c r="N70" s="546"/>
      <c r="O70" s="462"/>
      <c r="P70" s="462"/>
      <c r="Q70" s="462"/>
      <c r="R70" s="462"/>
      <c r="S70" s="549"/>
      <c r="T70" s="549">
        <f t="shared" si="15"/>
        <v>0</v>
      </c>
      <c r="U70" s="549">
        <f t="shared" si="24"/>
        <v>0</v>
      </c>
      <c r="V70" s="549"/>
      <c r="W70" s="549">
        <f t="shared" si="18"/>
        <v>0</v>
      </c>
      <c r="X70" s="546">
        <f t="shared" si="19"/>
        <v>0</v>
      </c>
    </row>
    <row r="71" spans="1:26">
      <c r="A71" s="431" t="s">
        <v>433</v>
      </c>
      <c r="B71" s="436" t="s">
        <v>402</v>
      </c>
      <c r="C71" s="488">
        <v>131057</v>
      </c>
      <c r="D71" s="488"/>
      <c r="E71" s="488">
        <f>F71+M71</f>
        <v>207072</v>
      </c>
      <c r="F71" s="462">
        <f t="shared" si="17"/>
        <v>207072</v>
      </c>
      <c r="G71" s="546"/>
      <c r="H71" s="462"/>
      <c r="I71" s="462"/>
      <c r="J71" s="462"/>
      <c r="K71" s="462"/>
      <c r="L71" s="462">
        <f>207291-129-90</f>
        <v>207072</v>
      </c>
      <c r="M71" s="462">
        <f t="shared" si="10"/>
        <v>0</v>
      </c>
      <c r="N71" s="546"/>
      <c r="O71" s="462"/>
      <c r="P71" s="462"/>
      <c r="Q71" s="462"/>
      <c r="R71" s="462"/>
      <c r="S71" s="549"/>
      <c r="T71" s="549">
        <f t="shared" si="15"/>
        <v>0</v>
      </c>
      <c r="U71" s="549">
        <f t="shared" si="24"/>
        <v>0</v>
      </c>
      <c r="V71" s="549"/>
      <c r="W71" s="549">
        <f t="shared" si="18"/>
        <v>0</v>
      </c>
      <c r="X71" s="546">
        <f t="shared" si="19"/>
        <v>0</v>
      </c>
    </row>
    <row r="72" spans="1:26" s="434" customFormat="1">
      <c r="A72" s="568">
        <v>4</v>
      </c>
      <c r="B72" s="433" t="s">
        <v>60</v>
      </c>
      <c r="C72" s="489">
        <f>SUM(C73:C89)</f>
        <v>983979</v>
      </c>
      <c r="D72" s="489">
        <f>E72-C72-E83-E84-E85-E86-E87</f>
        <v>-34580</v>
      </c>
      <c r="E72" s="489">
        <f>SUM(E73:E89)</f>
        <v>1109456</v>
      </c>
      <c r="F72" s="489">
        <f t="shared" si="17"/>
        <v>1053096</v>
      </c>
      <c r="G72" s="549">
        <f>SUM(G73:G89)</f>
        <v>826207</v>
      </c>
      <c r="H72" s="489">
        <f t="shared" ref="H72" si="68">SUM(H73:H89)</f>
        <v>0</v>
      </c>
      <c r="I72" s="489">
        <f t="shared" ref="I72" si="69">SUM(I73:I89)</f>
        <v>0</v>
      </c>
      <c r="J72" s="489">
        <f t="shared" ref="J72" si="70">SUM(J73:J89)</f>
        <v>20000</v>
      </c>
      <c r="K72" s="489">
        <f t="shared" ref="K72" si="71">SUM(K73:K89)</f>
        <v>0</v>
      </c>
      <c r="L72" s="489">
        <f>SUM(L73:L89)</f>
        <v>206889</v>
      </c>
      <c r="M72" s="489">
        <f t="shared" si="10"/>
        <v>56360</v>
      </c>
      <c r="N72" s="549">
        <f>SUM(N73:N89)</f>
        <v>56360</v>
      </c>
      <c r="O72" s="489">
        <f t="shared" ref="O72" si="72">SUM(O73:O89)</f>
        <v>0</v>
      </c>
      <c r="P72" s="489">
        <f t="shared" ref="P72" si="73">SUM(P73:P89)</f>
        <v>0</v>
      </c>
      <c r="Q72" s="489">
        <f>SUM(Q73:Q89)</f>
        <v>0</v>
      </c>
      <c r="R72" s="489">
        <f>SUM(R73:R89)</f>
        <v>0</v>
      </c>
      <c r="S72" s="549"/>
      <c r="T72" s="549">
        <f t="shared" si="15"/>
        <v>0</v>
      </c>
      <c r="U72" s="549">
        <f t="shared" si="24"/>
        <v>0</v>
      </c>
      <c r="V72" s="549">
        <f>SUM(V73:V89)</f>
        <v>160057</v>
      </c>
      <c r="W72" s="549">
        <f>J72+P72</f>
        <v>20000</v>
      </c>
      <c r="X72" s="546">
        <f t="shared" si="19"/>
        <v>140057</v>
      </c>
    </row>
    <row r="73" spans="1:26" s="573" customFormat="1">
      <c r="A73" s="431"/>
      <c r="B73" s="436" t="s">
        <v>37</v>
      </c>
      <c r="C73" s="488">
        <v>384068</v>
      </c>
      <c r="D73" s="488"/>
      <c r="E73" s="488">
        <f t="shared" ref="E73:E83" si="74">F73+M73</f>
        <v>456608</v>
      </c>
      <c r="F73" s="497">
        <f t="shared" si="17"/>
        <v>449928</v>
      </c>
      <c r="G73" s="548">
        <f>452474+17454-20000</f>
        <v>449928</v>
      </c>
      <c r="H73" s="497"/>
      <c r="I73" s="497"/>
      <c r="J73" s="497"/>
      <c r="K73" s="497"/>
      <c r="L73" s="497"/>
      <c r="M73" s="497">
        <f t="shared" si="10"/>
        <v>6680</v>
      </c>
      <c r="N73" s="548">
        <v>6680</v>
      </c>
      <c r="O73" s="497"/>
      <c r="P73" s="497"/>
      <c r="Q73" s="497"/>
      <c r="R73" s="497"/>
      <c r="S73" s="549"/>
      <c r="T73" s="549">
        <f t="shared" si="15"/>
        <v>0</v>
      </c>
      <c r="U73" s="549">
        <f t="shared" si="24"/>
        <v>0</v>
      </c>
      <c r="V73" s="549"/>
      <c r="W73" s="549">
        <f t="shared" si="18"/>
        <v>0</v>
      </c>
      <c r="X73" s="546">
        <f t="shared" si="19"/>
        <v>0</v>
      </c>
    </row>
    <row r="74" spans="1:26" s="573" customFormat="1">
      <c r="A74" s="431"/>
      <c r="B74" s="436" t="s">
        <v>437</v>
      </c>
      <c r="C74" s="488">
        <v>105932</v>
      </c>
      <c r="D74" s="488"/>
      <c r="E74" s="488">
        <f t="shared" si="74"/>
        <v>22631</v>
      </c>
      <c r="F74" s="497">
        <f t="shared" si="17"/>
        <v>22631</v>
      </c>
      <c r="G74" s="548">
        <f>226633-369695+165693</f>
        <v>22631</v>
      </c>
      <c r="H74" s="497"/>
      <c r="I74" s="497"/>
      <c r="J74" s="497"/>
      <c r="K74" s="497"/>
      <c r="L74" s="497"/>
      <c r="M74" s="497">
        <f t="shared" si="10"/>
        <v>0</v>
      </c>
      <c r="N74" s="548"/>
      <c r="O74" s="497"/>
      <c r="P74" s="497"/>
      <c r="Q74" s="497"/>
      <c r="R74" s="497"/>
      <c r="S74" s="549"/>
      <c r="T74" s="549">
        <f t="shared" ref="T74:T137" si="75">I74+O74</f>
        <v>0</v>
      </c>
      <c r="U74" s="549">
        <f t="shared" si="24"/>
        <v>0</v>
      </c>
      <c r="V74" s="549"/>
      <c r="W74" s="549">
        <f t="shared" si="18"/>
        <v>0</v>
      </c>
      <c r="X74" s="546">
        <f t="shared" si="19"/>
        <v>0</v>
      </c>
    </row>
    <row r="75" spans="1:26" s="573" customFormat="1" ht="31.5">
      <c r="A75" s="431" t="s">
        <v>433</v>
      </c>
      <c r="B75" s="120" t="s">
        <v>163</v>
      </c>
      <c r="C75" s="488">
        <v>110015</v>
      </c>
      <c r="D75" s="488"/>
      <c r="E75" s="488">
        <f t="shared" si="74"/>
        <v>110015</v>
      </c>
      <c r="F75" s="464">
        <f t="shared" si="17"/>
        <v>110015</v>
      </c>
      <c r="G75" s="619">
        <v>110015</v>
      </c>
      <c r="H75" s="563"/>
      <c r="I75" s="563"/>
      <c r="J75" s="563"/>
      <c r="K75" s="563"/>
      <c r="L75" s="563">
        <v>0</v>
      </c>
      <c r="M75" s="497">
        <f t="shared" si="10"/>
        <v>0</v>
      </c>
      <c r="N75" s="619"/>
      <c r="O75" s="563"/>
      <c r="P75" s="563"/>
      <c r="Q75" s="563"/>
      <c r="R75" s="563"/>
      <c r="S75" s="549"/>
      <c r="T75" s="549">
        <f t="shared" si="75"/>
        <v>0</v>
      </c>
      <c r="U75" s="549">
        <f t="shared" si="24"/>
        <v>0</v>
      </c>
      <c r="V75" s="549"/>
      <c r="W75" s="549">
        <f t="shared" si="18"/>
        <v>0</v>
      </c>
      <c r="X75" s="546">
        <f t="shared" si="19"/>
        <v>0</v>
      </c>
    </row>
    <row r="76" spans="1:26" s="573" customFormat="1" ht="31.5">
      <c r="A76" s="431" t="s">
        <v>433</v>
      </c>
      <c r="B76" s="120" t="s">
        <v>224</v>
      </c>
      <c r="C76" s="488">
        <v>40585</v>
      </c>
      <c r="D76" s="488"/>
      <c r="E76" s="488">
        <f t="shared" si="74"/>
        <v>42102</v>
      </c>
      <c r="F76" s="464">
        <f t="shared" si="17"/>
        <v>0</v>
      </c>
      <c r="G76" s="619"/>
      <c r="H76" s="563"/>
      <c r="I76" s="563"/>
      <c r="J76" s="563"/>
      <c r="K76" s="563"/>
      <c r="L76" s="563"/>
      <c r="M76" s="497">
        <f t="shared" si="10"/>
        <v>42102</v>
      </c>
      <c r="N76" s="619">
        <f>36350-36350+48160-6058</f>
        <v>42102</v>
      </c>
      <c r="O76" s="563"/>
      <c r="P76" s="563"/>
      <c r="Q76" s="563"/>
      <c r="R76" s="563"/>
      <c r="S76" s="549"/>
      <c r="T76" s="549"/>
      <c r="U76" s="549"/>
      <c r="V76" s="549"/>
      <c r="W76" s="549">
        <f t="shared" ref="W76:W139" si="76">J76+P76</f>
        <v>0</v>
      </c>
      <c r="X76" s="546">
        <f t="shared" ref="X76:X139" si="77">V76-W76</f>
        <v>0</v>
      </c>
    </row>
    <row r="77" spans="1:26" s="573" customFormat="1" ht="63">
      <c r="A77" s="431" t="s">
        <v>433</v>
      </c>
      <c r="B77" s="120" t="s">
        <v>319</v>
      </c>
      <c r="C77" s="488">
        <v>212258</v>
      </c>
      <c r="D77" s="488"/>
      <c r="E77" s="488">
        <f t="shared" si="74"/>
        <v>212258</v>
      </c>
      <c r="F77" s="464">
        <f t="shared" si="17"/>
        <v>212258</v>
      </c>
      <c r="G77" s="619">
        <v>212258</v>
      </c>
      <c r="H77" s="563"/>
      <c r="I77" s="563"/>
      <c r="J77" s="563"/>
      <c r="K77" s="563"/>
      <c r="L77" s="563">
        <v>0</v>
      </c>
      <c r="M77" s="497">
        <f t="shared" si="10"/>
        <v>0</v>
      </c>
      <c r="N77" s="620"/>
      <c r="O77" s="563"/>
      <c r="P77" s="563"/>
      <c r="Q77" s="564"/>
      <c r="R77" s="564"/>
      <c r="S77" s="549"/>
      <c r="T77" s="549">
        <f t="shared" si="75"/>
        <v>0</v>
      </c>
      <c r="U77" s="549">
        <f t="shared" si="24"/>
        <v>0</v>
      </c>
      <c r="V77" s="549"/>
      <c r="W77" s="549">
        <f t="shared" si="76"/>
        <v>0</v>
      </c>
      <c r="X77" s="546">
        <f t="shared" si="77"/>
        <v>0</v>
      </c>
    </row>
    <row r="78" spans="1:26" s="573" customFormat="1" ht="31.5">
      <c r="A78" s="431" t="s">
        <v>433</v>
      </c>
      <c r="B78" s="120" t="s">
        <v>320</v>
      </c>
      <c r="C78" s="488">
        <v>4</v>
      </c>
      <c r="D78" s="488"/>
      <c r="E78" s="488">
        <f t="shared" si="74"/>
        <v>4</v>
      </c>
      <c r="F78" s="464">
        <f t="shared" si="17"/>
        <v>4</v>
      </c>
      <c r="G78" s="619">
        <v>4</v>
      </c>
      <c r="H78" s="563"/>
      <c r="I78" s="563"/>
      <c r="J78" s="563"/>
      <c r="K78" s="563"/>
      <c r="L78" s="563">
        <v>0</v>
      </c>
      <c r="M78" s="497">
        <f t="shared" si="10"/>
        <v>0</v>
      </c>
      <c r="N78" s="620"/>
      <c r="O78" s="563"/>
      <c r="P78" s="563"/>
      <c r="Q78" s="564"/>
      <c r="R78" s="564"/>
      <c r="S78" s="549"/>
      <c r="T78" s="549">
        <f t="shared" si="75"/>
        <v>0</v>
      </c>
      <c r="U78" s="549">
        <f t="shared" si="24"/>
        <v>0</v>
      </c>
      <c r="V78" s="549"/>
      <c r="W78" s="549">
        <f t="shared" si="76"/>
        <v>0</v>
      </c>
      <c r="X78" s="546">
        <f t="shared" si="77"/>
        <v>0</v>
      </c>
    </row>
    <row r="79" spans="1:26" s="573" customFormat="1" ht="31.5">
      <c r="A79" s="431" t="s">
        <v>433</v>
      </c>
      <c r="B79" s="120" t="s">
        <v>526</v>
      </c>
      <c r="C79" s="488">
        <v>0</v>
      </c>
      <c r="D79" s="488"/>
      <c r="E79" s="488">
        <f t="shared" si="74"/>
        <v>0</v>
      </c>
      <c r="F79" s="464">
        <f t="shared" si="17"/>
        <v>0</v>
      </c>
      <c r="G79" s="619"/>
      <c r="H79" s="563"/>
      <c r="I79" s="563"/>
      <c r="J79" s="563"/>
      <c r="K79" s="563"/>
      <c r="L79" s="563">
        <v>0</v>
      </c>
      <c r="M79" s="497">
        <f t="shared" si="10"/>
        <v>0</v>
      </c>
      <c r="N79" s="620"/>
      <c r="O79" s="563"/>
      <c r="P79" s="563"/>
      <c r="Q79" s="564"/>
      <c r="R79" s="564"/>
      <c r="S79" s="549"/>
      <c r="T79" s="549">
        <f t="shared" si="75"/>
        <v>0</v>
      </c>
      <c r="U79" s="549">
        <f t="shared" si="24"/>
        <v>0</v>
      </c>
      <c r="V79" s="549"/>
      <c r="W79" s="549">
        <f t="shared" si="76"/>
        <v>0</v>
      </c>
      <c r="X79" s="546">
        <f t="shared" si="77"/>
        <v>0</v>
      </c>
    </row>
    <row r="80" spans="1:26" s="573" customFormat="1" ht="31.5">
      <c r="A80" s="431" t="s">
        <v>433</v>
      </c>
      <c r="B80" s="120" t="s">
        <v>165</v>
      </c>
      <c r="C80" s="488">
        <v>31371</v>
      </c>
      <c r="D80" s="488"/>
      <c r="E80" s="488">
        <f t="shared" si="74"/>
        <v>31371</v>
      </c>
      <c r="F80" s="464">
        <f t="shared" si="17"/>
        <v>31371</v>
      </c>
      <c r="G80" s="619">
        <v>31371</v>
      </c>
      <c r="H80" s="563"/>
      <c r="I80" s="563"/>
      <c r="J80" s="563"/>
      <c r="K80" s="563"/>
      <c r="L80" s="563">
        <v>0</v>
      </c>
      <c r="M80" s="497">
        <f t="shared" si="10"/>
        <v>0</v>
      </c>
      <c r="N80" s="620"/>
      <c r="O80" s="563"/>
      <c r="P80" s="563"/>
      <c r="Q80" s="564"/>
      <c r="R80" s="564"/>
      <c r="S80" s="549"/>
      <c r="T80" s="549">
        <f t="shared" si="75"/>
        <v>0</v>
      </c>
      <c r="U80" s="549">
        <f t="shared" si="24"/>
        <v>0</v>
      </c>
      <c r="V80" s="549"/>
      <c r="W80" s="549">
        <f t="shared" si="76"/>
        <v>0</v>
      </c>
      <c r="X80" s="546">
        <f t="shared" si="77"/>
        <v>0</v>
      </c>
    </row>
    <row r="81" spans="1:24" s="573" customFormat="1" ht="63">
      <c r="A81" s="431" t="s">
        <v>433</v>
      </c>
      <c r="B81" s="120" t="s">
        <v>226</v>
      </c>
      <c r="C81" s="488">
        <v>6872</v>
      </c>
      <c r="D81" s="488"/>
      <c r="E81" s="488">
        <f t="shared" si="74"/>
        <v>7578</v>
      </c>
      <c r="F81" s="464">
        <f t="shared" si="17"/>
        <v>0</v>
      </c>
      <c r="G81" s="619"/>
      <c r="H81" s="563"/>
      <c r="I81" s="563"/>
      <c r="J81" s="563"/>
      <c r="K81" s="563"/>
      <c r="L81" s="563"/>
      <c r="M81" s="497">
        <f t="shared" si="10"/>
        <v>7578</v>
      </c>
      <c r="N81" s="619">
        <v>7578</v>
      </c>
      <c r="O81" s="563"/>
      <c r="P81" s="563"/>
      <c r="Q81" s="564"/>
      <c r="R81" s="564"/>
      <c r="S81" s="549"/>
      <c r="T81" s="549">
        <f t="shared" si="75"/>
        <v>0</v>
      </c>
      <c r="U81" s="549">
        <f t="shared" si="24"/>
        <v>0</v>
      </c>
      <c r="V81" s="549"/>
      <c r="W81" s="549">
        <f t="shared" si="76"/>
        <v>0</v>
      </c>
      <c r="X81" s="546">
        <f t="shared" si="77"/>
        <v>0</v>
      </c>
    </row>
    <row r="82" spans="1:24" s="573" customFormat="1">
      <c r="A82" s="431" t="s">
        <v>433</v>
      </c>
      <c r="B82" s="436" t="s">
        <v>446</v>
      </c>
      <c r="C82" s="488">
        <v>5490</v>
      </c>
      <c r="D82" s="488"/>
      <c r="E82" s="488">
        <f t="shared" si="74"/>
        <v>12844</v>
      </c>
      <c r="F82" s="497">
        <f t="shared" si="17"/>
        <v>12844</v>
      </c>
      <c r="G82" s="548"/>
      <c r="H82" s="497"/>
      <c r="I82" s="497"/>
      <c r="J82" s="497"/>
      <c r="K82" s="497"/>
      <c r="L82" s="497">
        <f>5490+581+8596-1823</f>
        <v>12844</v>
      </c>
      <c r="M82" s="497">
        <f t="shared" si="10"/>
        <v>0</v>
      </c>
      <c r="N82" s="548"/>
      <c r="O82" s="497"/>
      <c r="P82" s="497"/>
      <c r="Q82" s="497"/>
      <c r="R82" s="497"/>
      <c r="S82" s="549"/>
      <c r="T82" s="549">
        <f t="shared" si="75"/>
        <v>0</v>
      </c>
      <c r="U82" s="549">
        <f t="shared" si="24"/>
        <v>0</v>
      </c>
      <c r="V82" s="549"/>
      <c r="W82" s="549">
        <f t="shared" si="76"/>
        <v>0</v>
      </c>
      <c r="X82" s="546">
        <f t="shared" si="77"/>
        <v>0</v>
      </c>
    </row>
    <row r="83" spans="1:24">
      <c r="A83" s="431" t="s">
        <v>470</v>
      </c>
      <c r="B83" s="436" t="s">
        <v>499</v>
      </c>
      <c r="C83" s="488"/>
      <c r="D83" s="488"/>
      <c r="E83" s="488">
        <f t="shared" si="74"/>
        <v>0</v>
      </c>
      <c r="F83" s="462">
        <f t="shared" si="17"/>
        <v>0</v>
      </c>
      <c r="G83" s="546"/>
      <c r="H83" s="462"/>
      <c r="I83" s="462"/>
      <c r="J83" s="462"/>
      <c r="K83" s="462"/>
      <c r="L83" s="462"/>
      <c r="M83" s="462">
        <f t="shared" si="10"/>
        <v>0</v>
      </c>
      <c r="N83" s="546"/>
      <c r="O83" s="462"/>
      <c r="P83" s="462"/>
      <c r="Q83" s="462"/>
      <c r="R83" s="462"/>
      <c r="S83" s="549"/>
      <c r="T83" s="549">
        <f t="shared" si="75"/>
        <v>0</v>
      </c>
      <c r="U83" s="549">
        <f t="shared" ref="U83:U138" si="78">S83-T83</f>
        <v>0</v>
      </c>
      <c r="V83" s="549"/>
      <c r="W83" s="549">
        <f t="shared" si="76"/>
        <v>0</v>
      </c>
      <c r="X83" s="546">
        <f t="shared" si="77"/>
        <v>0</v>
      </c>
    </row>
    <row r="84" spans="1:24">
      <c r="A84" s="431"/>
      <c r="B84" s="436" t="s">
        <v>511</v>
      </c>
      <c r="C84" s="488"/>
      <c r="D84" s="488"/>
      <c r="E84" s="488">
        <f t="shared" ref="E84:E86" si="79">F84+M84</f>
        <v>0</v>
      </c>
      <c r="F84" s="462">
        <f t="shared" si="17"/>
        <v>0</v>
      </c>
      <c r="G84" s="546"/>
      <c r="H84" s="462"/>
      <c r="I84" s="462"/>
      <c r="J84" s="462"/>
      <c r="K84" s="462"/>
      <c r="L84" s="462"/>
      <c r="M84" s="462">
        <f t="shared" si="10"/>
        <v>0</v>
      </c>
      <c r="N84" s="546"/>
      <c r="O84" s="462"/>
      <c r="P84" s="462"/>
      <c r="Q84" s="462"/>
      <c r="R84" s="462"/>
      <c r="S84" s="549"/>
      <c r="T84" s="549">
        <f t="shared" si="75"/>
        <v>0</v>
      </c>
      <c r="U84" s="549">
        <f t="shared" si="78"/>
        <v>0</v>
      </c>
      <c r="V84" s="549"/>
      <c r="W84" s="549">
        <f t="shared" si="76"/>
        <v>0</v>
      </c>
      <c r="X84" s="546">
        <f t="shared" si="77"/>
        <v>0</v>
      </c>
    </row>
    <row r="85" spans="1:24" s="579" customFormat="1">
      <c r="A85" s="587"/>
      <c r="B85" s="588" t="s">
        <v>463</v>
      </c>
      <c r="C85" s="546"/>
      <c r="D85" s="546"/>
      <c r="E85" s="546">
        <f t="shared" si="79"/>
        <v>123057</v>
      </c>
      <c r="F85" s="546">
        <f t="shared" si="17"/>
        <v>123057</v>
      </c>
      <c r="G85" s="546"/>
      <c r="H85" s="546"/>
      <c r="I85" s="546"/>
      <c r="J85" s="546"/>
      <c r="K85" s="546"/>
      <c r="L85" s="546">
        <f>X85</f>
        <v>123057</v>
      </c>
      <c r="M85" s="546">
        <f t="shared" si="10"/>
        <v>0</v>
      </c>
      <c r="N85" s="546"/>
      <c r="O85" s="546"/>
      <c r="P85" s="546"/>
      <c r="Q85" s="546"/>
      <c r="R85" s="546"/>
      <c r="S85" s="549"/>
      <c r="T85" s="549">
        <f t="shared" si="75"/>
        <v>0</v>
      </c>
      <c r="U85" s="549">
        <f t="shared" si="78"/>
        <v>0</v>
      </c>
      <c r="V85" s="549">
        <f>13000+31371+62358+16328</f>
        <v>123057</v>
      </c>
      <c r="W85" s="549">
        <f t="shared" si="76"/>
        <v>0</v>
      </c>
      <c r="X85" s="546">
        <f t="shared" si="77"/>
        <v>123057</v>
      </c>
    </row>
    <row r="86" spans="1:24">
      <c r="A86" s="431"/>
      <c r="B86" s="436" t="s">
        <v>513</v>
      </c>
      <c r="C86" s="488"/>
      <c r="D86" s="488"/>
      <c r="E86" s="488">
        <f t="shared" si="79"/>
        <v>0</v>
      </c>
      <c r="F86" s="462">
        <f t="shared" si="17"/>
        <v>0</v>
      </c>
      <c r="G86" s="546"/>
      <c r="H86" s="462"/>
      <c r="I86" s="462"/>
      <c r="J86" s="462"/>
      <c r="K86" s="462"/>
      <c r="L86" s="462"/>
      <c r="M86" s="462">
        <f t="shared" si="10"/>
        <v>0</v>
      </c>
      <c r="N86" s="546"/>
      <c r="O86" s="462"/>
      <c r="P86" s="462"/>
      <c r="Q86" s="462"/>
      <c r="R86" s="462"/>
      <c r="S86" s="549"/>
      <c r="T86" s="549">
        <f t="shared" si="75"/>
        <v>0</v>
      </c>
      <c r="U86" s="549">
        <f t="shared" si="78"/>
        <v>0</v>
      </c>
      <c r="V86" s="549"/>
      <c r="W86" s="549">
        <f t="shared" si="76"/>
        <v>0</v>
      </c>
      <c r="X86" s="546">
        <f t="shared" si="77"/>
        <v>0</v>
      </c>
    </row>
    <row r="87" spans="1:24" s="654" customFormat="1" ht="31.5">
      <c r="A87" s="645" t="s">
        <v>433</v>
      </c>
      <c r="B87" s="646" t="s">
        <v>657</v>
      </c>
      <c r="C87" s="647">
        <v>0</v>
      </c>
      <c r="D87" s="647"/>
      <c r="E87" s="647">
        <f>F87+M87</f>
        <v>37000</v>
      </c>
      <c r="F87" s="652">
        <f t="shared" si="17"/>
        <v>37000</v>
      </c>
      <c r="G87" s="653"/>
      <c r="H87" s="652"/>
      <c r="I87" s="652"/>
      <c r="J87" s="652">
        <v>20000</v>
      </c>
      <c r="K87" s="652"/>
      <c r="L87" s="652">
        <f>V87-M87-J87</f>
        <v>17000</v>
      </c>
      <c r="M87" s="652">
        <f t="shared" si="10"/>
        <v>0</v>
      </c>
      <c r="N87" s="653"/>
      <c r="O87" s="652"/>
      <c r="P87" s="652"/>
      <c r="Q87" s="652"/>
      <c r="R87" s="652"/>
      <c r="S87" s="650"/>
      <c r="T87" s="650">
        <f t="shared" si="75"/>
        <v>0</v>
      </c>
      <c r="U87" s="650">
        <f t="shared" si="78"/>
        <v>0</v>
      </c>
      <c r="V87" s="650">
        <f>13000+4000+20000</f>
        <v>37000</v>
      </c>
      <c r="W87" s="650">
        <f t="shared" si="76"/>
        <v>20000</v>
      </c>
      <c r="X87" s="649">
        <f t="shared" si="77"/>
        <v>17000</v>
      </c>
    </row>
    <row r="88" spans="1:24" s="573" customFormat="1">
      <c r="A88" s="431" t="s">
        <v>433</v>
      </c>
      <c r="B88" s="436" t="s">
        <v>465</v>
      </c>
      <c r="C88" s="488">
        <v>47580</v>
      </c>
      <c r="D88" s="488"/>
      <c r="E88" s="488">
        <f>F88+M88</f>
        <v>0</v>
      </c>
      <c r="F88" s="497">
        <f t="shared" ref="F88:F171" si="80">SUM(G88:L88)</f>
        <v>0</v>
      </c>
      <c r="G88" s="548"/>
      <c r="H88" s="497"/>
      <c r="I88" s="497"/>
      <c r="J88" s="497"/>
      <c r="K88" s="497"/>
      <c r="L88" s="497"/>
      <c r="M88" s="497">
        <f t="shared" ref="M88:M171" si="81">SUM(N88:R88)</f>
        <v>0</v>
      </c>
      <c r="N88" s="548"/>
      <c r="O88" s="497"/>
      <c r="P88" s="497"/>
      <c r="Q88" s="497"/>
      <c r="R88" s="497"/>
      <c r="S88" s="549"/>
      <c r="T88" s="549">
        <f t="shared" si="75"/>
        <v>0</v>
      </c>
      <c r="U88" s="549">
        <f t="shared" si="78"/>
        <v>0</v>
      </c>
      <c r="V88" s="549"/>
      <c r="W88" s="549">
        <f t="shared" si="76"/>
        <v>0</v>
      </c>
      <c r="X88" s="546">
        <f t="shared" si="77"/>
        <v>0</v>
      </c>
    </row>
    <row r="89" spans="1:24" s="573" customFormat="1">
      <c r="A89" s="431" t="s">
        <v>433</v>
      </c>
      <c r="B89" s="436" t="s">
        <v>402</v>
      </c>
      <c r="C89" s="488">
        <v>39804</v>
      </c>
      <c r="D89" s="488"/>
      <c r="E89" s="488">
        <f t="shared" ref="E89:E172" si="82">F89+M89</f>
        <v>53988</v>
      </c>
      <c r="F89" s="497">
        <f t="shared" si="80"/>
        <v>53988</v>
      </c>
      <c r="G89" s="548"/>
      <c r="H89" s="497"/>
      <c r="I89" s="497"/>
      <c r="J89" s="497"/>
      <c r="K89" s="497"/>
      <c r="L89" s="497">
        <f>30000+23988</f>
        <v>53988</v>
      </c>
      <c r="M89" s="497">
        <f t="shared" si="81"/>
        <v>0</v>
      </c>
      <c r="N89" s="548"/>
      <c r="O89" s="497"/>
      <c r="P89" s="497"/>
      <c r="Q89" s="497"/>
      <c r="R89" s="497"/>
      <c r="S89" s="549"/>
      <c r="T89" s="549">
        <f t="shared" si="75"/>
        <v>0</v>
      </c>
      <c r="U89" s="549">
        <f t="shared" si="78"/>
        <v>0</v>
      </c>
      <c r="V89" s="549"/>
      <c r="W89" s="549">
        <f t="shared" si="76"/>
        <v>0</v>
      </c>
      <c r="X89" s="546">
        <f t="shared" si="77"/>
        <v>0</v>
      </c>
    </row>
    <row r="90" spans="1:24" s="685" customFormat="1">
      <c r="A90" s="681">
        <v>5</v>
      </c>
      <c r="B90" s="682" t="s">
        <v>390</v>
      </c>
      <c r="C90" s="683">
        <f>C91+C92</f>
        <v>40290</v>
      </c>
      <c r="D90" s="683"/>
      <c r="E90" s="683">
        <f>F90+M90</f>
        <v>40290</v>
      </c>
      <c r="F90" s="683">
        <f>SUM(G90:L90)</f>
        <v>37740</v>
      </c>
      <c r="G90" s="683">
        <f>G91+G92</f>
        <v>32599</v>
      </c>
      <c r="H90" s="683">
        <f t="shared" ref="H90:K90" si="83">H91+H92</f>
        <v>0</v>
      </c>
      <c r="I90" s="683">
        <f t="shared" ref="I90" si="84">I91+I92</f>
        <v>0</v>
      </c>
      <c r="J90" s="683">
        <f t="shared" ref="J90" si="85">J91+J92</f>
        <v>0</v>
      </c>
      <c r="K90" s="683">
        <f t="shared" si="83"/>
        <v>0</v>
      </c>
      <c r="L90" s="683">
        <f>L91+L92</f>
        <v>5141</v>
      </c>
      <c r="M90" s="683">
        <f t="shared" si="81"/>
        <v>2550</v>
      </c>
      <c r="N90" s="683">
        <f>N91+N92</f>
        <v>2550</v>
      </c>
      <c r="O90" s="683">
        <f t="shared" ref="O90" si="86">O91+O92</f>
        <v>0</v>
      </c>
      <c r="P90" s="683">
        <f t="shared" ref="P90" si="87">P91+P92</f>
        <v>0</v>
      </c>
      <c r="Q90" s="683">
        <f>Q91+Q92</f>
        <v>0</v>
      </c>
      <c r="R90" s="683">
        <f>R91+R92</f>
        <v>0</v>
      </c>
      <c r="S90" s="683"/>
      <c r="T90" s="683">
        <f t="shared" si="75"/>
        <v>0</v>
      </c>
      <c r="U90" s="683">
        <f t="shared" si="78"/>
        <v>0</v>
      </c>
      <c r="V90" s="683">
        <f>SUM(V91:V92)</f>
        <v>0</v>
      </c>
      <c r="W90" s="683">
        <f t="shared" si="76"/>
        <v>0</v>
      </c>
      <c r="X90" s="684">
        <f t="shared" si="77"/>
        <v>0</v>
      </c>
    </row>
    <row r="91" spans="1:24">
      <c r="A91" s="431"/>
      <c r="B91" s="435" t="s">
        <v>401</v>
      </c>
      <c r="C91" s="488">
        <v>39465</v>
      </c>
      <c r="D91" s="488">
        <v>40290</v>
      </c>
      <c r="E91" s="488">
        <f t="shared" si="82"/>
        <v>35149</v>
      </c>
      <c r="F91" s="462">
        <f t="shared" si="80"/>
        <v>32599</v>
      </c>
      <c r="G91" s="546">
        <f>35200-94+43-2550</f>
        <v>32599</v>
      </c>
      <c r="H91" s="462"/>
      <c r="I91" s="462"/>
      <c r="J91" s="462"/>
      <c r="K91" s="462"/>
      <c r="L91" s="462"/>
      <c r="M91" s="462">
        <f t="shared" si="81"/>
        <v>2550</v>
      </c>
      <c r="N91" s="546">
        <f>2550-2550+2550</f>
        <v>2550</v>
      </c>
      <c r="O91" s="462"/>
      <c r="P91" s="462"/>
      <c r="Q91" s="462"/>
      <c r="R91" s="462"/>
      <c r="S91" s="549"/>
      <c r="T91" s="549">
        <f t="shared" si="75"/>
        <v>0</v>
      </c>
      <c r="U91" s="549">
        <f t="shared" si="78"/>
        <v>0</v>
      </c>
      <c r="V91" s="549"/>
      <c r="W91" s="549">
        <f t="shared" si="76"/>
        <v>0</v>
      </c>
      <c r="X91" s="546">
        <f t="shared" si="77"/>
        <v>0</v>
      </c>
    </row>
    <row r="92" spans="1:24">
      <c r="A92" s="431"/>
      <c r="B92" s="435" t="s">
        <v>402</v>
      </c>
      <c r="C92" s="488">
        <v>825</v>
      </c>
      <c r="D92" s="488"/>
      <c r="E92" s="488">
        <f t="shared" si="82"/>
        <v>5141</v>
      </c>
      <c r="F92" s="462">
        <f t="shared" si="80"/>
        <v>5141</v>
      </c>
      <c r="G92" s="546"/>
      <c r="H92" s="462"/>
      <c r="I92" s="462"/>
      <c r="J92" s="462"/>
      <c r="K92" s="462"/>
      <c r="L92" s="462">
        <f>784+1807+51+2550-51</f>
        <v>5141</v>
      </c>
      <c r="M92" s="462">
        <f t="shared" si="81"/>
        <v>0</v>
      </c>
      <c r="N92" s="546"/>
      <c r="O92" s="462"/>
      <c r="P92" s="462"/>
      <c r="Q92" s="462"/>
      <c r="R92" s="462"/>
      <c r="S92" s="549"/>
      <c r="T92" s="549">
        <f t="shared" si="75"/>
        <v>0</v>
      </c>
      <c r="U92" s="549">
        <f t="shared" si="78"/>
        <v>0</v>
      </c>
      <c r="V92" s="549"/>
      <c r="W92" s="549">
        <f t="shared" si="76"/>
        <v>0</v>
      </c>
      <c r="X92" s="546">
        <f t="shared" si="77"/>
        <v>0</v>
      </c>
    </row>
    <row r="93" spans="1:24" s="685" customFormat="1">
      <c r="A93" s="681">
        <v>6</v>
      </c>
      <c r="B93" s="682" t="s">
        <v>391</v>
      </c>
      <c r="C93" s="683">
        <f>SUM(C94:C103)</f>
        <v>184232</v>
      </c>
      <c r="D93" s="683">
        <f>E93-C93-E97-E98-E99-E100</f>
        <v>400</v>
      </c>
      <c r="E93" s="683">
        <f>F93+M93</f>
        <v>217724</v>
      </c>
      <c r="F93" s="683">
        <f t="shared" si="80"/>
        <v>141502</v>
      </c>
      <c r="G93" s="683">
        <f>SUM(G94:G103)</f>
        <v>64691</v>
      </c>
      <c r="H93" s="683">
        <f t="shared" ref="H93" si="88">SUM(H94:H103)</f>
        <v>0</v>
      </c>
      <c r="I93" s="683">
        <f t="shared" ref="I93" si="89">SUM(I94:I103)</f>
        <v>0</v>
      </c>
      <c r="J93" s="683">
        <f t="shared" ref="J93" si="90">SUM(J94:J103)</f>
        <v>6035</v>
      </c>
      <c r="K93" s="683">
        <f t="shared" ref="K93" si="91">SUM(K94:K103)</f>
        <v>0</v>
      </c>
      <c r="L93" s="683">
        <f>SUM(L94:L103)</f>
        <v>70776</v>
      </c>
      <c r="M93" s="683">
        <f t="shared" si="81"/>
        <v>76222</v>
      </c>
      <c r="N93" s="683">
        <f>SUM(N94:N103)</f>
        <v>61222</v>
      </c>
      <c r="O93" s="683">
        <f t="shared" ref="O93" si="92">SUM(O94:O103)</f>
        <v>0</v>
      </c>
      <c r="P93" s="683">
        <f t="shared" ref="P93" si="93">SUM(P94:P103)</f>
        <v>0</v>
      </c>
      <c r="Q93" s="683">
        <f>SUM(Q94:Q103)</f>
        <v>0</v>
      </c>
      <c r="R93" s="683">
        <f>SUM(R94:R103)</f>
        <v>15000</v>
      </c>
      <c r="S93" s="683"/>
      <c r="T93" s="683">
        <f t="shared" si="75"/>
        <v>0</v>
      </c>
      <c r="U93" s="683">
        <f t="shared" si="78"/>
        <v>0</v>
      </c>
      <c r="V93" s="683">
        <f>SUM(V94:V103)</f>
        <v>12057</v>
      </c>
      <c r="W93" s="683">
        <f t="shared" si="76"/>
        <v>6035</v>
      </c>
      <c r="X93" s="684">
        <f t="shared" si="77"/>
        <v>6022</v>
      </c>
    </row>
    <row r="94" spans="1:24">
      <c r="A94" s="431" t="s">
        <v>257</v>
      </c>
      <c r="B94" s="436" t="s">
        <v>37</v>
      </c>
      <c r="C94" s="488">
        <v>85231</v>
      </c>
      <c r="D94" s="488"/>
      <c r="E94" s="488">
        <f>F94+M94</f>
        <v>116932</v>
      </c>
      <c r="F94" s="462">
        <f t="shared" si="80"/>
        <v>64641</v>
      </c>
      <c r="G94" s="546">
        <f>(12006+255+4666-541+1675+14290)+(1113+564-938+200+17151)+300+350+(3264+1290-7566+22093)+224+50+130+100+(-2000-3000-1035)</f>
        <v>64641</v>
      </c>
      <c r="H94" s="462"/>
      <c r="I94" s="462"/>
      <c r="J94" s="462"/>
      <c r="K94" s="462"/>
      <c r="L94" s="462"/>
      <c r="M94" s="462">
        <f t="shared" si="81"/>
        <v>52291</v>
      </c>
      <c r="N94" s="546">
        <v>52291</v>
      </c>
      <c r="O94" s="462"/>
      <c r="P94" s="462"/>
      <c r="Q94" s="462"/>
      <c r="R94" s="462"/>
      <c r="S94" s="549"/>
      <c r="T94" s="549">
        <f t="shared" si="75"/>
        <v>0</v>
      </c>
      <c r="U94" s="549">
        <f t="shared" si="78"/>
        <v>0</v>
      </c>
      <c r="V94" s="549"/>
      <c r="W94" s="549">
        <f t="shared" si="76"/>
        <v>0</v>
      </c>
      <c r="X94" s="546">
        <f t="shared" si="77"/>
        <v>0</v>
      </c>
    </row>
    <row r="95" spans="1:24">
      <c r="A95" s="431" t="s">
        <v>433</v>
      </c>
      <c r="B95" s="436" t="s">
        <v>437</v>
      </c>
      <c r="C95" s="488">
        <v>17120</v>
      </c>
      <c r="D95" s="488"/>
      <c r="E95" s="488">
        <f>F95+M95</f>
        <v>8981</v>
      </c>
      <c r="F95" s="462">
        <f t="shared" si="80"/>
        <v>50</v>
      </c>
      <c r="G95" s="546">
        <f>50</f>
        <v>50</v>
      </c>
      <c r="H95" s="462"/>
      <c r="I95" s="462"/>
      <c r="J95" s="462"/>
      <c r="K95" s="462"/>
      <c r="L95" s="462"/>
      <c r="M95" s="462">
        <f t="shared" si="81"/>
        <v>8931</v>
      </c>
      <c r="N95" s="546">
        <f>4051+4880</f>
        <v>8931</v>
      </c>
      <c r="O95" s="462"/>
      <c r="P95" s="462"/>
      <c r="Q95" s="462"/>
      <c r="R95" s="462"/>
      <c r="S95" s="549"/>
      <c r="T95" s="549">
        <f t="shared" si="75"/>
        <v>0</v>
      </c>
      <c r="U95" s="549">
        <f t="shared" si="78"/>
        <v>0</v>
      </c>
      <c r="V95" s="549"/>
      <c r="W95" s="549">
        <f t="shared" si="76"/>
        <v>0</v>
      </c>
      <c r="X95" s="546">
        <f t="shared" si="77"/>
        <v>0</v>
      </c>
    </row>
    <row r="96" spans="1:24">
      <c r="A96" s="431" t="s">
        <v>433</v>
      </c>
      <c r="B96" s="436" t="s">
        <v>446</v>
      </c>
      <c r="C96" s="488">
        <v>581</v>
      </c>
      <c r="D96" s="488"/>
      <c r="E96" s="488">
        <f>F96+M96</f>
        <v>581</v>
      </c>
      <c r="F96" s="462">
        <f t="shared" si="80"/>
        <v>581</v>
      </c>
      <c r="G96" s="546"/>
      <c r="H96" s="462"/>
      <c r="I96" s="462"/>
      <c r="J96" s="462"/>
      <c r="K96" s="462"/>
      <c r="L96" s="462">
        <v>581</v>
      </c>
      <c r="M96" s="462">
        <f t="shared" si="81"/>
        <v>0</v>
      </c>
      <c r="N96" s="546"/>
      <c r="O96" s="462"/>
      <c r="P96" s="462"/>
      <c r="Q96" s="462"/>
      <c r="R96" s="462"/>
      <c r="S96" s="549"/>
      <c r="T96" s="549">
        <f t="shared" si="75"/>
        <v>0</v>
      </c>
      <c r="U96" s="549">
        <f t="shared" si="78"/>
        <v>0</v>
      </c>
      <c r="V96" s="549"/>
      <c r="W96" s="549">
        <f t="shared" si="76"/>
        <v>0</v>
      </c>
      <c r="X96" s="546">
        <f t="shared" si="77"/>
        <v>0</v>
      </c>
    </row>
    <row r="97" spans="1:26">
      <c r="A97" s="431" t="s">
        <v>470</v>
      </c>
      <c r="B97" s="436" t="s">
        <v>499</v>
      </c>
      <c r="C97" s="488"/>
      <c r="D97" s="488"/>
      <c r="E97" s="488">
        <f>F97+M97</f>
        <v>0</v>
      </c>
      <c r="F97" s="462">
        <f t="shared" si="80"/>
        <v>0</v>
      </c>
      <c r="G97" s="546"/>
      <c r="H97" s="462"/>
      <c r="I97" s="462"/>
      <c r="J97" s="462"/>
      <c r="K97" s="462"/>
      <c r="L97" s="462"/>
      <c r="M97" s="462">
        <f t="shared" si="81"/>
        <v>0</v>
      </c>
      <c r="N97" s="546"/>
      <c r="O97" s="462"/>
      <c r="P97" s="462"/>
      <c r="Q97" s="462"/>
      <c r="R97" s="462"/>
      <c r="S97" s="549"/>
      <c r="T97" s="549">
        <f t="shared" si="75"/>
        <v>0</v>
      </c>
      <c r="U97" s="549">
        <f t="shared" si="78"/>
        <v>0</v>
      </c>
      <c r="V97" s="549"/>
      <c r="W97" s="549">
        <f t="shared" si="76"/>
        <v>0</v>
      </c>
      <c r="X97" s="546">
        <f t="shared" si="77"/>
        <v>0</v>
      </c>
    </row>
    <row r="98" spans="1:26">
      <c r="A98" s="431"/>
      <c r="B98" s="436" t="s">
        <v>511</v>
      </c>
      <c r="C98" s="488"/>
      <c r="D98" s="488"/>
      <c r="E98" s="488">
        <f t="shared" ref="E98:E100" si="94">F98+M98</f>
        <v>15000</v>
      </c>
      <c r="F98" s="462">
        <f t="shared" si="80"/>
        <v>0</v>
      </c>
      <c r="G98" s="546"/>
      <c r="H98" s="462"/>
      <c r="I98" s="462"/>
      <c r="J98" s="462"/>
      <c r="K98" s="462"/>
      <c r="L98" s="462"/>
      <c r="M98" s="462">
        <f t="shared" si="81"/>
        <v>15000</v>
      </c>
      <c r="N98" s="546"/>
      <c r="O98" s="462"/>
      <c r="P98" s="462"/>
      <c r="Q98" s="462"/>
      <c r="R98" s="462">
        <v>15000</v>
      </c>
      <c r="S98" s="549"/>
      <c r="T98" s="549">
        <f t="shared" si="75"/>
        <v>0</v>
      </c>
      <c r="U98" s="549">
        <f t="shared" si="78"/>
        <v>0</v>
      </c>
      <c r="V98" s="549"/>
      <c r="W98" s="549">
        <f t="shared" si="76"/>
        <v>0</v>
      </c>
      <c r="X98" s="546">
        <f t="shared" si="77"/>
        <v>0</v>
      </c>
    </row>
    <row r="99" spans="1:26">
      <c r="A99" s="431"/>
      <c r="B99" s="436" t="s">
        <v>463</v>
      </c>
      <c r="C99" s="488"/>
      <c r="D99" s="488"/>
      <c r="E99" s="488">
        <f t="shared" si="94"/>
        <v>6022</v>
      </c>
      <c r="F99" s="462">
        <f t="shared" si="80"/>
        <v>6022</v>
      </c>
      <c r="G99" s="546"/>
      <c r="H99" s="462"/>
      <c r="I99" s="462"/>
      <c r="J99" s="462"/>
      <c r="K99" s="462"/>
      <c r="L99" s="462">
        <f>X99</f>
        <v>6022</v>
      </c>
      <c r="M99" s="462">
        <f t="shared" si="81"/>
        <v>0</v>
      </c>
      <c r="N99" s="546"/>
      <c r="O99" s="462"/>
      <c r="P99" s="462"/>
      <c r="Q99" s="462"/>
      <c r="R99" s="462"/>
      <c r="S99" s="549"/>
      <c r="T99" s="549">
        <f t="shared" si="75"/>
        <v>0</v>
      </c>
      <c r="U99" s="549">
        <f t="shared" si="78"/>
        <v>0</v>
      </c>
      <c r="V99" s="549">
        <f>5800+222</f>
        <v>6022</v>
      </c>
      <c r="W99" s="549">
        <f t="shared" si="76"/>
        <v>0</v>
      </c>
      <c r="X99" s="546">
        <f t="shared" si="77"/>
        <v>6022</v>
      </c>
    </row>
    <row r="100" spans="1:26" s="651" customFormat="1" ht="31.5">
      <c r="A100" s="645"/>
      <c r="B100" s="646" t="s">
        <v>657</v>
      </c>
      <c r="C100" s="647"/>
      <c r="D100" s="647"/>
      <c r="E100" s="647">
        <f t="shared" si="94"/>
        <v>12070</v>
      </c>
      <c r="F100" s="648">
        <f>SUM(G100:L100)</f>
        <v>12070</v>
      </c>
      <c r="G100" s="649"/>
      <c r="H100" s="648"/>
      <c r="I100" s="648"/>
      <c r="J100" s="648">
        <f>2000+3000+1035</f>
        <v>6035</v>
      </c>
      <c r="K100" s="648"/>
      <c r="L100" s="648">
        <f>V100-M100-G100</f>
        <v>6035</v>
      </c>
      <c r="M100" s="648">
        <f t="shared" si="81"/>
        <v>0</v>
      </c>
      <c r="N100" s="649"/>
      <c r="O100" s="648"/>
      <c r="P100" s="648"/>
      <c r="Q100" s="648"/>
      <c r="R100" s="648"/>
      <c r="S100" s="650"/>
      <c r="T100" s="650">
        <f t="shared" si="75"/>
        <v>0</v>
      </c>
      <c r="U100" s="650">
        <f t="shared" si="78"/>
        <v>0</v>
      </c>
      <c r="V100" s="650">
        <v>6035</v>
      </c>
      <c r="W100" s="650">
        <f t="shared" si="76"/>
        <v>6035</v>
      </c>
      <c r="X100" s="649">
        <f t="shared" si="77"/>
        <v>0</v>
      </c>
      <c r="Z100" s="651">
        <v>32860</v>
      </c>
    </row>
    <row r="101" spans="1:26">
      <c r="A101" s="431" t="s">
        <v>433</v>
      </c>
      <c r="B101" s="436" t="s">
        <v>465</v>
      </c>
      <c r="C101" s="488">
        <v>71300</v>
      </c>
      <c r="D101" s="488"/>
      <c r="E101" s="488">
        <f t="shared" si="82"/>
        <v>0</v>
      </c>
      <c r="F101" s="462">
        <f t="shared" si="80"/>
        <v>0</v>
      </c>
      <c r="G101" s="546"/>
      <c r="H101" s="462"/>
      <c r="I101" s="462"/>
      <c r="J101" s="462"/>
      <c r="K101" s="462"/>
      <c r="L101" s="462"/>
      <c r="M101" s="462">
        <f t="shared" si="81"/>
        <v>0</v>
      </c>
      <c r="N101" s="546"/>
      <c r="O101" s="462"/>
      <c r="P101" s="462"/>
      <c r="Q101" s="462"/>
      <c r="R101" s="462"/>
      <c r="S101" s="549"/>
      <c r="T101" s="549">
        <f t="shared" si="75"/>
        <v>0</v>
      </c>
      <c r="U101" s="549">
        <f t="shared" si="78"/>
        <v>0</v>
      </c>
      <c r="V101" s="549"/>
      <c r="W101" s="549">
        <f t="shared" si="76"/>
        <v>0</v>
      </c>
      <c r="X101" s="546">
        <f t="shared" si="77"/>
        <v>0</v>
      </c>
    </row>
    <row r="102" spans="1:26">
      <c r="A102" s="431" t="s">
        <v>433</v>
      </c>
      <c r="B102" s="436"/>
      <c r="C102" s="488">
        <v>0</v>
      </c>
      <c r="D102" s="488"/>
      <c r="E102" s="488">
        <f t="shared" si="82"/>
        <v>0</v>
      </c>
      <c r="F102" s="462">
        <f t="shared" si="80"/>
        <v>0</v>
      </c>
      <c r="G102" s="546"/>
      <c r="H102" s="462"/>
      <c r="I102" s="462"/>
      <c r="J102" s="462"/>
      <c r="K102" s="462"/>
      <c r="L102" s="462"/>
      <c r="M102" s="462">
        <f t="shared" si="81"/>
        <v>0</v>
      </c>
      <c r="N102" s="546"/>
      <c r="O102" s="462"/>
      <c r="P102" s="462"/>
      <c r="Q102" s="462"/>
      <c r="R102" s="462"/>
      <c r="S102" s="549"/>
      <c r="T102" s="549">
        <f t="shared" si="75"/>
        <v>0</v>
      </c>
      <c r="U102" s="549">
        <f t="shared" si="78"/>
        <v>0</v>
      </c>
      <c r="V102" s="549"/>
      <c r="W102" s="549">
        <f t="shared" si="76"/>
        <v>0</v>
      </c>
      <c r="X102" s="546">
        <f t="shared" si="77"/>
        <v>0</v>
      </c>
    </row>
    <row r="103" spans="1:26">
      <c r="A103" s="431" t="s">
        <v>433</v>
      </c>
      <c r="B103" s="436" t="s">
        <v>402</v>
      </c>
      <c r="C103" s="488">
        <v>10000</v>
      </c>
      <c r="D103" s="488"/>
      <c r="E103" s="488">
        <f t="shared" si="82"/>
        <v>58138</v>
      </c>
      <c r="F103" s="462">
        <f t="shared" si="80"/>
        <v>58138</v>
      </c>
      <c r="G103" s="546"/>
      <c r="H103" s="462"/>
      <c r="I103" s="462"/>
      <c r="J103" s="462"/>
      <c r="K103" s="462"/>
      <c r="L103" s="462">
        <f>65193-7055</f>
        <v>58138</v>
      </c>
      <c r="M103" s="462">
        <f t="shared" si="81"/>
        <v>0</v>
      </c>
      <c r="N103" s="546"/>
      <c r="O103" s="462"/>
      <c r="P103" s="462"/>
      <c r="Q103" s="462"/>
      <c r="R103" s="462"/>
      <c r="S103" s="549"/>
      <c r="T103" s="549">
        <f t="shared" si="75"/>
        <v>0</v>
      </c>
      <c r="U103" s="549">
        <f t="shared" si="78"/>
        <v>0</v>
      </c>
      <c r="V103" s="549"/>
      <c r="W103" s="549">
        <f t="shared" si="76"/>
        <v>0</v>
      </c>
      <c r="X103" s="546">
        <f t="shared" si="77"/>
        <v>0</v>
      </c>
    </row>
    <row r="104" spans="1:26" s="685" customFormat="1">
      <c r="A104" s="681">
        <v>7</v>
      </c>
      <c r="B104" s="682" t="s">
        <v>392</v>
      </c>
      <c r="C104" s="683">
        <f>SUM(C105:C108)</f>
        <v>48072</v>
      </c>
      <c r="D104" s="683"/>
      <c r="E104" s="683">
        <f t="shared" si="82"/>
        <v>48417</v>
      </c>
      <c r="F104" s="683">
        <f t="shared" si="80"/>
        <v>19495</v>
      </c>
      <c r="G104" s="683">
        <f t="shared" ref="G104:R104" si="95">SUM(G105:G108)</f>
        <v>16639</v>
      </c>
      <c r="H104" s="683">
        <f t="shared" ref="H104" si="96">SUM(H105:H108)</f>
        <v>0</v>
      </c>
      <c r="I104" s="683">
        <f t="shared" ref="I104" si="97">SUM(I105:I108)</f>
        <v>0</v>
      </c>
      <c r="J104" s="683">
        <f t="shared" ref="J104" si="98">SUM(J105:J108)</f>
        <v>0</v>
      </c>
      <c r="K104" s="683">
        <f t="shared" ref="K104" si="99">SUM(K105:K108)</f>
        <v>0</v>
      </c>
      <c r="L104" s="683">
        <f t="shared" si="95"/>
        <v>2856</v>
      </c>
      <c r="M104" s="683">
        <f t="shared" si="81"/>
        <v>28922</v>
      </c>
      <c r="N104" s="683">
        <f t="shared" si="95"/>
        <v>28922</v>
      </c>
      <c r="O104" s="683">
        <f t="shared" ref="O104" si="100">SUM(O105:O108)</f>
        <v>0</v>
      </c>
      <c r="P104" s="683">
        <f t="shared" ref="P104" si="101">SUM(P105:P108)</f>
        <v>0</v>
      </c>
      <c r="Q104" s="683">
        <f t="shared" si="95"/>
        <v>0</v>
      </c>
      <c r="R104" s="683">
        <f t="shared" si="95"/>
        <v>0</v>
      </c>
      <c r="S104" s="683"/>
      <c r="T104" s="683">
        <f t="shared" si="75"/>
        <v>0</v>
      </c>
      <c r="U104" s="683">
        <f t="shared" si="78"/>
        <v>0</v>
      </c>
      <c r="V104" s="683">
        <f>SUM(V105:V108)</f>
        <v>0</v>
      </c>
      <c r="W104" s="683">
        <f t="shared" si="76"/>
        <v>0</v>
      </c>
      <c r="X104" s="684">
        <f t="shared" si="77"/>
        <v>0</v>
      </c>
    </row>
    <row r="105" spans="1:26">
      <c r="A105" s="431" t="s">
        <v>433</v>
      </c>
      <c r="B105" s="436" t="s">
        <v>37</v>
      </c>
      <c r="C105" s="488">
        <v>40897</v>
      </c>
      <c r="D105" s="488"/>
      <c r="E105" s="488">
        <f t="shared" si="82"/>
        <v>41111</v>
      </c>
      <c r="F105" s="462">
        <f t="shared" si="80"/>
        <v>12189</v>
      </c>
      <c r="G105" s="546">
        <f>7806+4383</f>
        <v>12189</v>
      </c>
      <c r="H105" s="462"/>
      <c r="I105" s="462"/>
      <c r="J105" s="462"/>
      <c r="K105" s="462"/>
      <c r="L105" s="462"/>
      <c r="M105" s="462">
        <f t="shared" si="81"/>
        <v>28922</v>
      </c>
      <c r="N105" s="546">
        <v>28922</v>
      </c>
      <c r="O105" s="462"/>
      <c r="P105" s="462"/>
      <c r="Q105" s="462"/>
      <c r="R105" s="462"/>
      <c r="S105" s="549"/>
      <c r="T105" s="549">
        <f t="shared" si="75"/>
        <v>0</v>
      </c>
      <c r="U105" s="549">
        <f t="shared" si="78"/>
        <v>0</v>
      </c>
      <c r="V105" s="549"/>
      <c r="W105" s="549">
        <f t="shared" si="76"/>
        <v>0</v>
      </c>
      <c r="X105" s="546">
        <f t="shared" si="77"/>
        <v>0</v>
      </c>
    </row>
    <row r="106" spans="1:26">
      <c r="A106" s="431" t="s">
        <v>433</v>
      </c>
      <c r="B106" s="436" t="s">
        <v>437</v>
      </c>
      <c r="C106" s="488">
        <v>4311</v>
      </c>
      <c r="D106" s="488"/>
      <c r="E106" s="488">
        <f t="shared" si="82"/>
        <v>4450</v>
      </c>
      <c r="F106" s="462">
        <f t="shared" si="80"/>
        <v>4450</v>
      </c>
      <c r="G106" s="546">
        <f>800+3650</f>
        <v>4450</v>
      </c>
      <c r="H106" s="462"/>
      <c r="I106" s="462"/>
      <c r="J106" s="462"/>
      <c r="K106" s="462"/>
      <c r="L106" s="462"/>
      <c r="M106" s="462">
        <f t="shared" si="81"/>
        <v>0</v>
      </c>
      <c r="N106" s="546"/>
      <c r="O106" s="462"/>
      <c r="P106" s="462"/>
      <c r="Q106" s="462"/>
      <c r="R106" s="462"/>
      <c r="S106" s="549"/>
      <c r="T106" s="549">
        <f t="shared" si="75"/>
        <v>0</v>
      </c>
      <c r="U106" s="549">
        <f t="shared" si="78"/>
        <v>0</v>
      </c>
      <c r="V106" s="549"/>
      <c r="W106" s="549">
        <f t="shared" si="76"/>
        <v>0</v>
      </c>
      <c r="X106" s="546">
        <f t="shared" si="77"/>
        <v>0</v>
      </c>
    </row>
    <row r="107" spans="1:26">
      <c r="A107" s="431" t="s">
        <v>433</v>
      </c>
      <c r="B107" s="436" t="s">
        <v>446</v>
      </c>
      <c r="C107" s="488">
        <v>428</v>
      </c>
      <c r="D107" s="488"/>
      <c r="E107" s="488">
        <f t="shared" si="82"/>
        <v>500</v>
      </c>
      <c r="F107" s="462">
        <f t="shared" si="80"/>
        <v>500</v>
      </c>
      <c r="G107" s="546"/>
      <c r="H107" s="462"/>
      <c r="I107" s="462"/>
      <c r="J107" s="462"/>
      <c r="K107" s="462"/>
      <c r="L107" s="462">
        <f>428+72</f>
        <v>500</v>
      </c>
      <c r="M107" s="462">
        <f t="shared" si="81"/>
        <v>0</v>
      </c>
      <c r="N107" s="546"/>
      <c r="O107" s="462"/>
      <c r="P107" s="462"/>
      <c r="Q107" s="462"/>
      <c r="R107" s="462"/>
      <c r="S107" s="549"/>
      <c r="T107" s="549">
        <f t="shared" si="75"/>
        <v>0</v>
      </c>
      <c r="U107" s="549">
        <f t="shared" si="78"/>
        <v>0</v>
      </c>
      <c r="V107" s="549"/>
      <c r="W107" s="549">
        <f t="shared" si="76"/>
        <v>0</v>
      </c>
      <c r="X107" s="546">
        <f t="shared" si="77"/>
        <v>0</v>
      </c>
    </row>
    <row r="108" spans="1:26">
      <c r="A108" s="431" t="s">
        <v>433</v>
      </c>
      <c r="B108" s="436" t="s">
        <v>402</v>
      </c>
      <c r="C108" s="488">
        <v>2436</v>
      </c>
      <c r="D108" s="488"/>
      <c r="E108" s="488">
        <f t="shared" si="82"/>
        <v>2356</v>
      </c>
      <c r="F108" s="462">
        <f t="shared" si="80"/>
        <v>2356</v>
      </c>
      <c r="G108" s="546"/>
      <c r="H108" s="462"/>
      <c r="I108" s="462"/>
      <c r="J108" s="462"/>
      <c r="K108" s="462"/>
      <c r="L108" s="462">
        <f>2436-72-8</f>
        <v>2356</v>
      </c>
      <c r="M108" s="462">
        <f t="shared" si="81"/>
        <v>0</v>
      </c>
      <c r="N108" s="546"/>
      <c r="O108" s="462"/>
      <c r="P108" s="462"/>
      <c r="Q108" s="462"/>
      <c r="R108" s="462"/>
      <c r="S108" s="549"/>
      <c r="T108" s="549">
        <f t="shared" si="75"/>
        <v>0</v>
      </c>
      <c r="U108" s="549">
        <f t="shared" si="78"/>
        <v>0</v>
      </c>
      <c r="V108" s="549"/>
      <c r="W108" s="549">
        <f t="shared" si="76"/>
        <v>0</v>
      </c>
      <c r="X108" s="546">
        <f t="shared" si="77"/>
        <v>0</v>
      </c>
    </row>
    <row r="109" spans="1:26" s="685" customFormat="1">
      <c r="A109" s="681">
        <v>8</v>
      </c>
      <c r="B109" s="682" t="s">
        <v>393</v>
      </c>
      <c r="C109" s="683">
        <f>SUM(C110:C117)</f>
        <v>56983</v>
      </c>
      <c r="D109" s="683">
        <f>E109-C109-E112-E113-E114-E115</f>
        <v>-662</v>
      </c>
      <c r="E109" s="683">
        <f>F109+M109</f>
        <v>86851</v>
      </c>
      <c r="F109" s="683">
        <f>SUM(G109:L109)</f>
        <v>61124</v>
      </c>
      <c r="G109" s="683">
        <f>SUM(G110:G117)</f>
        <v>31690</v>
      </c>
      <c r="H109" s="683">
        <f t="shared" ref="H109" si="102">SUM(H110:H117)</f>
        <v>0</v>
      </c>
      <c r="I109" s="683">
        <f t="shared" ref="I109" si="103">SUM(I110:I117)</f>
        <v>0</v>
      </c>
      <c r="J109" s="683">
        <f t="shared" ref="J109" si="104">SUM(J110:J117)</f>
        <v>3780</v>
      </c>
      <c r="K109" s="683">
        <f t="shared" ref="K109" si="105">SUM(K110:K117)</f>
        <v>0</v>
      </c>
      <c r="L109" s="683">
        <f>SUM(L110:L117)</f>
        <v>25654</v>
      </c>
      <c r="M109" s="683">
        <f t="shared" si="81"/>
        <v>25727</v>
      </c>
      <c r="N109" s="683">
        <f>SUM(N110:N117)</f>
        <v>23977</v>
      </c>
      <c r="O109" s="683">
        <f t="shared" ref="O109" si="106">SUM(O110:O117)</f>
        <v>0</v>
      </c>
      <c r="P109" s="683">
        <f t="shared" ref="P109" si="107">SUM(P110:P117)</f>
        <v>1750</v>
      </c>
      <c r="Q109" s="683">
        <f>SUM(Q110:Q117)</f>
        <v>0</v>
      </c>
      <c r="R109" s="683">
        <f>SUM(R110:R117)</f>
        <v>0</v>
      </c>
      <c r="S109" s="683"/>
      <c r="T109" s="683">
        <f t="shared" si="75"/>
        <v>0</v>
      </c>
      <c r="U109" s="683">
        <f t="shared" si="78"/>
        <v>0</v>
      </c>
      <c r="V109" s="683">
        <f>SUM(V110:V117)</f>
        <v>30530</v>
      </c>
      <c r="W109" s="683">
        <f t="shared" si="76"/>
        <v>5530</v>
      </c>
      <c r="X109" s="684">
        <f t="shared" si="77"/>
        <v>25000</v>
      </c>
    </row>
    <row r="110" spans="1:26">
      <c r="A110" s="431" t="s">
        <v>433</v>
      </c>
      <c r="B110" s="436" t="s">
        <v>37</v>
      </c>
      <c r="C110" s="488">
        <v>23102</v>
      </c>
      <c r="D110" s="488"/>
      <c r="E110" s="488">
        <f t="shared" si="82"/>
        <v>23194</v>
      </c>
      <c r="F110" s="462">
        <f t="shared" si="80"/>
        <v>1140</v>
      </c>
      <c r="G110" s="546">
        <f>976+356-192</f>
        <v>1140</v>
      </c>
      <c r="H110" s="462"/>
      <c r="I110" s="462"/>
      <c r="J110" s="462"/>
      <c r="K110" s="462"/>
      <c r="L110" s="462"/>
      <c r="M110" s="462">
        <f t="shared" si="81"/>
        <v>22054</v>
      </c>
      <c r="N110" s="546">
        <v>22054</v>
      </c>
      <c r="O110" s="462"/>
      <c r="P110" s="462"/>
      <c r="Q110" s="462"/>
      <c r="R110" s="462"/>
      <c r="S110" s="549"/>
      <c r="T110" s="549">
        <f t="shared" si="75"/>
        <v>0</v>
      </c>
      <c r="U110" s="549">
        <f t="shared" si="78"/>
        <v>0</v>
      </c>
      <c r="V110" s="549"/>
      <c r="W110" s="549">
        <f t="shared" si="76"/>
        <v>0</v>
      </c>
      <c r="X110" s="546">
        <f t="shared" si="77"/>
        <v>0</v>
      </c>
    </row>
    <row r="111" spans="1:26">
      <c r="A111" s="431"/>
      <c r="B111" s="436" t="s">
        <v>532</v>
      </c>
      <c r="C111" s="488">
        <v>29477</v>
      </c>
      <c r="D111" s="488"/>
      <c r="E111" s="488">
        <f t="shared" si="82"/>
        <v>32473</v>
      </c>
      <c r="F111" s="462">
        <f t="shared" si="80"/>
        <v>30550</v>
      </c>
      <c r="G111" s="547">
        <f>1500+29050</f>
        <v>30550</v>
      </c>
      <c r="H111" s="460"/>
      <c r="I111" s="460"/>
      <c r="J111" s="460"/>
      <c r="K111" s="460"/>
      <c r="L111" s="462"/>
      <c r="M111" s="462">
        <f t="shared" si="81"/>
        <v>1923</v>
      </c>
      <c r="N111" s="546">
        <f>5400-5400+1923</f>
        <v>1923</v>
      </c>
      <c r="O111" s="460"/>
      <c r="P111" s="460"/>
      <c r="Q111" s="462"/>
      <c r="R111" s="462"/>
      <c r="S111" s="549"/>
      <c r="T111" s="549">
        <f t="shared" si="75"/>
        <v>0</v>
      </c>
      <c r="U111" s="549">
        <f t="shared" si="78"/>
        <v>0</v>
      </c>
      <c r="V111" s="549"/>
      <c r="W111" s="549">
        <f t="shared" si="76"/>
        <v>0</v>
      </c>
      <c r="X111" s="546">
        <f t="shared" si="77"/>
        <v>0</v>
      </c>
    </row>
    <row r="112" spans="1:26">
      <c r="A112" s="431" t="s">
        <v>470</v>
      </c>
      <c r="B112" s="436" t="s">
        <v>499</v>
      </c>
      <c r="C112" s="488"/>
      <c r="D112" s="488"/>
      <c r="E112" s="488">
        <f>F112+M112</f>
        <v>0</v>
      </c>
      <c r="F112" s="462">
        <f t="shared" si="80"/>
        <v>0</v>
      </c>
      <c r="G112" s="546"/>
      <c r="H112" s="462"/>
      <c r="I112" s="462"/>
      <c r="J112" s="462"/>
      <c r="K112" s="462"/>
      <c r="L112" s="462"/>
      <c r="M112" s="462">
        <f t="shared" si="81"/>
        <v>0</v>
      </c>
      <c r="N112" s="546"/>
      <c r="O112" s="462"/>
      <c r="P112" s="462"/>
      <c r="Q112" s="462"/>
      <c r="R112" s="462"/>
      <c r="S112" s="549"/>
      <c r="T112" s="549"/>
      <c r="U112" s="549"/>
      <c r="V112" s="549"/>
      <c r="W112" s="549">
        <f t="shared" si="76"/>
        <v>0</v>
      </c>
      <c r="X112" s="546">
        <f t="shared" si="77"/>
        <v>0</v>
      </c>
    </row>
    <row r="113" spans="1:24">
      <c r="A113" s="431"/>
      <c r="B113" s="436" t="s">
        <v>511</v>
      </c>
      <c r="C113" s="488"/>
      <c r="D113" s="488"/>
      <c r="E113" s="488">
        <f t="shared" ref="E113:E115" si="108">F113+M113</f>
        <v>0</v>
      </c>
      <c r="F113" s="462">
        <f t="shared" si="80"/>
        <v>0</v>
      </c>
      <c r="G113" s="546"/>
      <c r="H113" s="462"/>
      <c r="I113" s="462"/>
      <c r="J113" s="462"/>
      <c r="K113" s="462"/>
      <c r="L113" s="462"/>
      <c r="M113" s="462">
        <f t="shared" si="81"/>
        <v>0</v>
      </c>
      <c r="N113" s="546"/>
      <c r="O113" s="462"/>
      <c r="P113" s="462"/>
      <c r="Q113" s="462"/>
      <c r="R113" s="462"/>
      <c r="S113" s="549"/>
      <c r="T113" s="549">
        <f t="shared" si="75"/>
        <v>0</v>
      </c>
      <c r="U113" s="549">
        <f t="shared" si="78"/>
        <v>0</v>
      </c>
      <c r="V113" s="549"/>
      <c r="W113" s="549">
        <f t="shared" si="76"/>
        <v>0</v>
      </c>
      <c r="X113" s="546">
        <f t="shared" si="77"/>
        <v>0</v>
      </c>
    </row>
    <row r="114" spans="1:24">
      <c r="A114" s="431"/>
      <c r="B114" s="436" t="s">
        <v>463</v>
      </c>
      <c r="C114" s="488"/>
      <c r="D114" s="488"/>
      <c r="E114" s="488">
        <f t="shared" si="108"/>
        <v>0</v>
      </c>
      <c r="F114" s="462">
        <f t="shared" si="80"/>
        <v>0</v>
      </c>
      <c r="G114" s="546"/>
      <c r="H114" s="462"/>
      <c r="I114" s="462"/>
      <c r="J114" s="462"/>
      <c r="K114" s="462"/>
      <c r="L114" s="462">
        <f>X114</f>
        <v>0</v>
      </c>
      <c r="M114" s="462">
        <f t="shared" si="81"/>
        <v>0</v>
      </c>
      <c r="N114" s="546"/>
      <c r="O114" s="462"/>
      <c r="P114" s="462"/>
      <c r="Q114" s="462"/>
      <c r="R114" s="462"/>
      <c r="S114" s="549"/>
      <c r="T114" s="549">
        <f t="shared" si="75"/>
        <v>0</v>
      </c>
      <c r="U114" s="549">
        <f t="shared" si="78"/>
        <v>0</v>
      </c>
      <c r="V114" s="549"/>
      <c r="W114" s="549">
        <f t="shared" si="76"/>
        <v>0</v>
      </c>
      <c r="X114" s="546">
        <f t="shared" si="77"/>
        <v>0</v>
      </c>
    </row>
    <row r="115" spans="1:24" s="651" customFormat="1" ht="31.5">
      <c r="A115" s="645"/>
      <c r="B115" s="646" t="s">
        <v>657</v>
      </c>
      <c r="C115" s="647"/>
      <c r="D115" s="647"/>
      <c r="E115" s="647">
        <f t="shared" si="108"/>
        <v>30530</v>
      </c>
      <c r="F115" s="648">
        <f t="shared" si="80"/>
        <v>28780</v>
      </c>
      <c r="G115" s="649"/>
      <c r="H115" s="648"/>
      <c r="I115" s="648"/>
      <c r="J115" s="648">
        <f>70+150+3560</f>
        <v>3780</v>
      </c>
      <c r="K115" s="648"/>
      <c r="L115" s="648">
        <f>V115-M115-J115</f>
        <v>25000</v>
      </c>
      <c r="M115" s="648">
        <f t="shared" si="81"/>
        <v>1750</v>
      </c>
      <c r="N115" s="649"/>
      <c r="O115" s="648"/>
      <c r="P115" s="648">
        <v>1750</v>
      </c>
      <c r="Q115" s="648"/>
      <c r="R115" s="648"/>
      <c r="S115" s="650"/>
      <c r="T115" s="650">
        <f t="shared" si="75"/>
        <v>0</v>
      </c>
      <c r="U115" s="650">
        <f t="shared" si="78"/>
        <v>0</v>
      </c>
      <c r="V115" s="650">
        <f>1970+13500+3560+11500</f>
        <v>30530</v>
      </c>
      <c r="W115" s="650">
        <f t="shared" si="76"/>
        <v>5530</v>
      </c>
      <c r="X115" s="649">
        <f t="shared" si="77"/>
        <v>25000</v>
      </c>
    </row>
    <row r="116" spans="1:24">
      <c r="A116" s="431" t="s">
        <v>257</v>
      </c>
      <c r="B116" s="436" t="s">
        <v>446</v>
      </c>
      <c r="C116" s="488">
        <v>444</v>
      </c>
      <c r="D116" s="488"/>
      <c r="E116" s="488">
        <f t="shared" si="82"/>
        <v>444</v>
      </c>
      <c r="F116" s="462">
        <f t="shared" si="80"/>
        <v>444</v>
      </c>
      <c r="G116" s="546"/>
      <c r="H116" s="462"/>
      <c r="I116" s="462"/>
      <c r="J116" s="462"/>
      <c r="K116" s="462"/>
      <c r="L116" s="462">
        <v>444</v>
      </c>
      <c r="M116" s="462">
        <f t="shared" si="81"/>
        <v>0</v>
      </c>
      <c r="N116" s="546"/>
      <c r="O116" s="462"/>
      <c r="P116" s="462"/>
      <c r="Q116" s="462"/>
      <c r="R116" s="462"/>
      <c r="S116" s="549"/>
      <c r="T116" s="549">
        <f t="shared" si="75"/>
        <v>0</v>
      </c>
      <c r="U116" s="549">
        <f t="shared" si="78"/>
        <v>0</v>
      </c>
      <c r="V116" s="549"/>
      <c r="W116" s="549">
        <f t="shared" si="76"/>
        <v>0</v>
      </c>
      <c r="X116" s="546">
        <f t="shared" si="77"/>
        <v>0</v>
      </c>
    </row>
    <row r="117" spans="1:24">
      <c r="A117" s="431" t="s">
        <v>433</v>
      </c>
      <c r="B117" s="436" t="s">
        <v>402</v>
      </c>
      <c r="C117" s="488">
        <v>3960</v>
      </c>
      <c r="D117" s="488"/>
      <c r="E117" s="488">
        <f t="shared" si="82"/>
        <v>210</v>
      </c>
      <c r="F117" s="462">
        <f t="shared" si="80"/>
        <v>210</v>
      </c>
      <c r="G117" s="546"/>
      <c r="H117" s="462"/>
      <c r="I117" s="462"/>
      <c r="J117" s="462"/>
      <c r="K117" s="462"/>
      <c r="L117" s="462">
        <v>210</v>
      </c>
      <c r="M117" s="462">
        <f t="shared" si="81"/>
        <v>0</v>
      </c>
      <c r="N117" s="546"/>
      <c r="O117" s="462"/>
      <c r="P117" s="462"/>
      <c r="Q117" s="462"/>
      <c r="R117" s="462"/>
      <c r="S117" s="549"/>
      <c r="T117" s="549">
        <f t="shared" si="75"/>
        <v>0</v>
      </c>
      <c r="U117" s="549">
        <f t="shared" si="78"/>
        <v>0</v>
      </c>
      <c r="V117" s="549"/>
      <c r="W117" s="549">
        <f t="shared" si="76"/>
        <v>0</v>
      </c>
      <c r="X117" s="546">
        <f t="shared" si="77"/>
        <v>0</v>
      </c>
    </row>
    <row r="118" spans="1:24" s="685" customFormat="1">
      <c r="A118" s="681">
        <v>9</v>
      </c>
      <c r="B118" s="682" t="s">
        <v>394</v>
      </c>
      <c r="C118" s="683">
        <f>SUM(C119:C136)</f>
        <v>917743</v>
      </c>
      <c r="D118" s="683">
        <f>E118-C118-E128-E129-E130-E131-E134</f>
        <v>7640</v>
      </c>
      <c r="E118" s="683">
        <f>F118+M118</f>
        <v>1025896</v>
      </c>
      <c r="F118" s="683">
        <f>SUM(G118:L118)</f>
        <v>406973</v>
      </c>
      <c r="G118" s="683">
        <f>SUM(G119:G136)</f>
        <v>58636</v>
      </c>
      <c r="H118" s="683">
        <f t="shared" ref="H118" si="109">SUM(H119:H136)</f>
        <v>0</v>
      </c>
      <c r="I118" s="683">
        <f t="shared" ref="I118" si="110">SUM(I119:I136)</f>
        <v>0</v>
      </c>
      <c r="J118" s="683">
        <f t="shared" ref="J118" si="111">SUM(J119:J136)</f>
        <v>0</v>
      </c>
      <c r="K118" s="683">
        <f t="shared" ref="K118" si="112">SUM(K119:K136)</f>
        <v>0</v>
      </c>
      <c r="L118" s="683">
        <f>SUM(L119:L136)</f>
        <v>348337</v>
      </c>
      <c r="M118" s="683">
        <f t="shared" si="81"/>
        <v>618923</v>
      </c>
      <c r="N118" s="683">
        <f>SUM(N119:N136)</f>
        <v>603671</v>
      </c>
      <c r="O118" s="683">
        <f t="shared" ref="O118" si="113">SUM(O119:O136)</f>
        <v>0</v>
      </c>
      <c r="P118" s="683">
        <f t="shared" ref="P118" si="114">SUM(P119:P136)</f>
        <v>12752</v>
      </c>
      <c r="Q118" s="683">
        <f>SUM(Q119:Q136)</f>
        <v>0</v>
      </c>
      <c r="R118" s="683">
        <f>SUM(R119:R136)</f>
        <v>2500</v>
      </c>
      <c r="S118" s="683"/>
      <c r="T118" s="683">
        <f t="shared" si="75"/>
        <v>0</v>
      </c>
      <c r="U118" s="683">
        <f t="shared" si="78"/>
        <v>0</v>
      </c>
      <c r="V118" s="683">
        <f>SUM(V119:V136)</f>
        <v>98013</v>
      </c>
      <c r="W118" s="683">
        <f t="shared" si="76"/>
        <v>12752</v>
      </c>
      <c r="X118" s="684">
        <f t="shared" si="77"/>
        <v>85261</v>
      </c>
    </row>
    <row r="119" spans="1:24">
      <c r="A119" s="431" t="s">
        <v>433</v>
      </c>
      <c r="B119" s="436" t="s">
        <v>37</v>
      </c>
      <c r="C119" s="488">
        <v>48555</v>
      </c>
      <c r="D119" s="488"/>
      <c r="E119" s="488">
        <f t="shared" si="82"/>
        <v>62199</v>
      </c>
      <c r="F119" s="462">
        <f t="shared" si="80"/>
        <v>28576</v>
      </c>
      <c r="G119" s="546">
        <f>21472+2656+4550+51-153</f>
        <v>28576</v>
      </c>
      <c r="H119" s="462"/>
      <c r="I119" s="462"/>
      <c r="J119" s="462"/>
      <c r="K119" s="462"/>
      <c r="L119" s="462"/>
      <c r="M119" s="462">
        <f t="shared" si="81"/>
        <v>33623</v>
      </c>
      <c r="N119" s="546">
        <f>120483-94402+7542</f>
        <v>33623</v>
      </c>
      <c r="O119" s="462"/>
      <c r="P119" s="462"/>
      <c r="Q119" s="546"/>
      <c r="R119" s="462"/>
      <c r="S119" s="549"/>
      <c r="T119" s="549">
        <f t="shared" si="75"/>
        <v>0</v>
      </c>
      <c r="U119" s="549">
        <f t="shared" si="78"/>
        <v>0</v>
      </c>
      <c r="V119" s="549"/>
      <c r="W119" s="549">
        <f t="shared" si="76"/>
        <v>0</v>
      </c>
      <c r="X119" s="546">
        <f t="shared" si="77"/>
        <v>0</v>
      </c>
    </row>
    <row r="120" spans="1:24">
      <c r="A120" s="431" t="s">
        <v>433</v>
      </c>
      <c r="B120" s="436" t="s">
        <v>437</v>
      </c>
      <c r="C120" s="488">
        <v>17398</v>
      </c>
      <c r="D120" s="488"/>
      <c r="E120" s="488">
        <f t="shared" si="82"/>
        <v>26078</v>
      </c>
      <c r="F120" s="462">
        <f t="shared" si="80"/>
        <v>17598</v>
      </c>
      <c r="G120" s="546">
        <f>3080+14518</f>
        <v>17598</v>
      </c>
      <c r="H120" s="462"/>
      <c r="I120" s="462"/>
      <c r="J120" s="462"/>
      <c r="K120" s="462"/>
      <c r="L120" s="462"/>
      <c r="M120" s="462">
        <f t="shared" si="81"/>
        <v>8480</v>
      </c>
      <c r="N120" s="546">
        <v>8480</v>
      </c>
      <c r="O120" s="462"/>
      <c r="P120" s="462"/>
      <c r="Q120" s="462"/>
      <c r="R120" s="462"/>
      <c r="S120" s="549"/>
      <c r="T120" s="549">
        <f t="shared" si="75"/>
        <v>0</v>
      </c>
      <c r="U120" s="549">
        <f t="shared" si="78"/>
        <v>0</v>
      </c>
      <c r="V120" s="549"/>
      <c r="W120" s="549">
        <f t="shared" si="76"/>
        <v>0</v>
      </c>
      <c r="X120" s="546">
        <f t="shared" si="77"/>
        <v>0</v>
      </c>
    </row>
    <row r="121" spans="1:24" ht="31.5">
      <c r="A121" s="431" t="s">
        <v>433</v>
      </c>
      <c r="B121" s="484" t="s">
        <v>102</v>
      </c>
      <c r="C121" s="488">
        <v>70670</v>
      </c>
      <c r="D121" s="488"/>
      <c r="E121" s="488">
        <f t="shared" si="82"/>
        <v>70670</v>
      </c>
      <c r="F121" s="462">
        <f t="shared" si="80"/>
        <v>7324</v>
      </c>
      <c r="G121" s="546"/>
      <c r="H121" s="462"/>
      <c r="I121" s="462"/>
      <c r="J121" s="462"/>
      <c r="K121" s="462"/>
      <c r="L121" s="462">
        <v>7324</v>
      </c>
      <c r="M121" s="462">
        <f t="shared" si="81"/>
        <v>63346</v>
      </c>
      <c r="N121" s="546">
        <f>70670-70670+43594+27443-7691</f>
        <v>63346</v>
      </c>
      <c r="O121" s="462"/>
      <c r="P121" s="462"/>
      <c r="Q121" s="462"/>
      <c r="R121" s="462"/>
      <c r="S121" s="549"/>
      <c r="T121" s="549">
        <f t="shared" si="75"/>
        <v>0</v>
      </c>
      <c r="U121" s="549">
        <f t="shared" si="78"/>
        <v>0</v>
      </c>
      <c r="V121" s="549"/>
      <c r="W121" s="549">
        <f t="shared" si="76"/>
        <v>0</v>
      </c>
      <c r="X121" s="546">
        <f t="shared" si="77"/>
        <v>0</v>
      </c>
    </row>
    <row r="122" spans="1:24" ht="47.25">
      <c r="A122" s="431" t="s">
        <v>433</v>
      </c>
      <c r="B122" s="120" t="s">
        <v>105</v>
      </c>
      <c r="C122" s="488">
        <v>90699</v>
      </c>
      <c r="D122" s="488"/>
      <c r="E122" s="488">
        <f t="shared" si="82"/>
        <v>90699</v>
      </c>
      <c r="F122" s="462">
        <f t="shared" si="80"/>
        <v>43566</v>
      </c>
      <c r="G122" s="546"/>
      <c r="H122" s="462"/>
      <c r="I122" s="462"/>
      <c r="J122" s="462"/>
      <c r="K122" s="462"/>
      <c r="L122" s="462">
        <v>43566</v>
      </c>
      <c r="M122" s="462">
        <f t="shared" si="81"/>
        <v>47133</v>
      </c>
      <c r="N122" s="546">
        <f>61237-61237+50657-3524</f>
        <v>47133</v>
      </c>
      <c r="O122" s="462"/>
      <c r="P122" s="462"/>
      <c r="Q122" s="462"/>
      <c r="R122" s="462"/>
      <c r="S122" s="549"/>
      <c r="T122" s="549">
        <f t="shared" si="75"/>
        <v>0</v>
      </c>
      <c r="U122" s="549">
        <f t="shared" si="78"/>
        <v>0</v>
      </c>
      <c r="V122" s="549"/>
      <c r="W122" s="549">
        <f t="shared" si="76"/>
        <v>0</v>
      </c>
      <c r="X122" s="546">
        <f t="shared" si="77"/>
        <v>0</v>
      </c>
    </row>
    <row r="123" spans="1:24" ht="31.5">
      <c r="A123" s="431" t="s">
        <v>433</v>
      </c>
      <c r="B123" s="485" t="s">
        <v>222</v>
      </c>
      <c r="C123" s="488">
        <v>430988</v>
      </c>
      <c r="D123" s="488"/>
      <c r="E123" s="488">
        <f t="shared" si="82"/>
        <v>440528</v>
      </c>
      <c r="F123" s="462">
        <f t="shared" si="80"/>
        <v>12462</v>
      </c>
      <c r="G123" s="546">
        <f>11440+1022</f>
        <v>12462</v>
      </c>
      <c r="H123" s="462"/>
      <c r="I123" s="462"/>
      <c r="J123" s="462"/>
      <c r="K123" s="462"/>
      <c r="L123" s="462">
        <f>6542-6542</f>
        <v>0</v>
      </c>
      <c r="M123" s="462">
        <f t="shared" si="81"/>
        <v>428066</v>
      </c>
      <c r="N123" s="546">
        <f>318604+94402-318604+333664</f>
        <v>428066</v>
      </c>
      <c r="O123" s="462"/>
      <c r="P123" s="462"/>
      <c r="Q123" s="546"/>
      <c r="R123" s="462"/>
      <c r="S123" s="549"/>
      <c r="T123" s="549">
        <f t="shared" si="75"/>
        <v>0</v>
      </c>
      <c r="U123" s="549">
        <f t="shared" si="78"/>
        <v>0</v>
      </c>
      <c r="V123" s="549"/>
      <c r="W123" s="549">
        <f t="shared" si="76"/>
        <v>0</v>
      </c>
      <c r="X123" s="546">
        <f t="shared" si="77"/>
        <v>0</v>
      </c>
    </row>
    <row r="124" spans="1:24">
      <c r="A124" s="431" t="s">
        <v>433</v>
      </c>
      <c r="B124" s="485"/>
      <c r="C124" s="488">
        <v>0</v>
      </c>
      <c r="D124" s="488"/>
      <c r="E124" s="488">
        <f t="shared" si="82"/>
        <v>0</v>
      </c>
      <c r="F124" s="462">
        <f t="shared" si="80"/>
        <v>0</v>
      </c>
      <c r="G124" s="546"/>
      <c r="H124" s="462"/>
      <c r="I124" s="462"/>
      <c r="J124" s="462"/>
      <c r="K124" s="462"/>
      <c r="L124" s="462"/>
      <c r="M124" s="462">
        <f t="shared" si="81"/>
        <v>0</v>
      </c>
      <c r="N124" s="546"/>
      <c r="O124" s="462"/>
      <c r="P124" s="462"/>
      <c r="Q124" s="462"/>
      <c r="R124" s="462"/>
      <c r="S124" s="549"/>
      <c r="T124" s="549">
        <f t="shared" si="75"/>
        <v>0</v>
      </c>
      <c r="U124" s="549">
        <f t="shared" si="78"/>
        <v>0</v>
      </c>
      <c r="V124" s="549"/>
      <c r="W124" s="549">
        <f t="shared" si="76"/>
        <v>0</v>
      </c>
      <c r="X124" s="546">
        <f t="shared" si="77"/>
        <v>0</v>
      </c>
    </row>
    <row r="125" spans="1:24" ht="31.5">
      <c r="A125" s="431" t="s">
        <v>433</v>
      </c>
      <c r="B125" s="486" t="s">
        <v>182</v>
      </c>
      <c r="C125" s="488">
        <v>17887</v>
      </c>
      <c r="D125" s="488"/>
      <c r="E125" s="488">
        <f t="shared" si="82"/>
        <v>17887</v>
      </c>
      <c r="F125" s="462">
        <f t="shared" si="80"/>
        <v>6497</v>
      </c>
      <c r="G125" s="546"/>
      <c r="H125" s="462"/>
      <c r="I125" s="462"/>
      <c r="J125" s="462"/>
      <c r="K125" s="462"/>
      <c r="L125" s="462">
        <v>6497</v>
      </c>
      <c r="M125" s="462">
        <f t="shared" si="81"/>
        <v>11390</v>
      </c>
      <c r="N125" s="546">
        <f>15315-15315+11390</f>
        <v>11390</v>
      </c>
      <c r="O125" s="462"/>
      <c r="P125" s="462"/>
      <c r="Q125" s="462"/>
      <c r="R125" s="462"/>
      <c r="S125" s="549"/>
      <c r="T125" s="549">
        <f t="shared" si="75"/>
        <v>0</v>
      </c>
      <c r="U125" s="549">
        <f t="shared" si="78"/>
        <v>0</v>
      </c>
      <c r="V125" s="549"/>
      <c r="W125" s="549">
        <f t="shared" si="76"/>
        <v>0</v>
      </c>
      <c r="X125" s="546">
        <f t="shared" si="77"/>
        <v>0</v>
      </c>
    </row>
    <row r="126" spans="1:24">
      <c r="A126" s="431" t="s">
        <v>433</v>
      </c>
      <c r="B126" s="486"/>
      <c r="C126" s="488">
        <v>0</v>
      </c>
      <c r="D126" s="488"/>
      <c r="E126" s="488">
        <f t="shared" si="82"/>
        <v>0</v>
      </c>
      <c r="F126" s="462">
        <f t="shared" si="80"/>
        <v>0</v>
      </c>
      <c r="G126" s="546"/>
      <c r="H126" s="462"/>
      <c r="I126" s="462"/>
      <c r="J126" s="462"/>
      <c r="K126" s="462"/>
      <c r="L126" s="462"/>
      <c r="M126" s="462">
        <f t="shared" si="81"/>
        <v>0</v>
      </c>
      <c r="N126" s="546"/>
      <c r="O126" s="462"/>
      <c r="P126" s="462"/>
      <c r="Q126" s="462"/>
      <c r="R126" s="462"/>
      <c r="S126" s="549"/>
      <c r="T126" s="549">
        <f t="shared" si="75"/>
        <v>0</v>
      </c>
      <c r="U126" s="549">
        <f t="shared" si="78"/>
        <v>0</v>
      </c>
      <c r="V126" s="549"/>
      <c r="W126" s="549">
        <f t="shared" si="76"/>
        <v>0</v>
      </c>
      <c r="X126" s="546">
        <f t="shared" si="77"/>
        <v>0</v>
      </c>
    </row>
    <row r="127" spans="1:24" ht="31.5">
      <c r="A127" s="431" t="s">
        <v>433</v>
      </c>
      <c r="B127" s="108" t="s">
        <v>535</v>
      </c>
      <c r="C127" s="488">
        <v>10229</v>
      </c>
      <c r="D127" s="488"/>
      <c r="E127" s="488">
        <f t="shared" si="82"/>
        <v>11633</v>
      </c>
      <c r="F127" s="462">
        <f t="shared" si="80"/>
        <v>0</v>
      </c>
      <c r="G127" s="546"/>
      <c r="H127" s="462"/>
      <c r="I127" s="462"/>
      <c r="J127" s="462"/>
      <c r="K127" s="462"/>
      <c r="L127" s="462">
        <v>0</v>
      </c>
      <c r="M127" s="462">
        <f t="shared" si="81"/>
        <v>11633</v>
      </c>
      <c r="N127" s="546">
        <f>10229-10229+2178+9455</f>
        <v>11633</v>
      </c>
      <c r="O127" s="462"/>
      <c r="P127" s="462"/>
      <c r="Q127" s="462"/>
      <c r="R127" s="462"/>
      <c r="S127" s="549"/>
      <c r="T127" s="549">
        <f t="shared" si="75"/>
        <v>0</v>
      </c>
      <c r="U127" s="549">
        <f t="shared" si="78"/>
        <v>0</v>
      </c>
      <c r="V127" s="549"/>
      <c r="W127" s="549">
        <f t="shared" si="76"/>
        <v>0</v>
      </c>
      <c r="X127" s="546">
        <f t="shared" si="77"/>
        <v>0</v>
      </c>
    </row>
    <row r="128" spans="1:24">
      <c r="A128" s="431" t="s">
        <v>470</v>
      </c>
      <c r="B128" s="436" t="s">
        <v>499</v>
      </c>
      <c r="C128" s="488"/>
      <c r="D128" s="488"/>
      <c r="E128" s="488">
        <f>F128+M128</f>
        <v>0</v>
      </c>
      <c r="F128" s="462">
        <f t="shared" si="80"/>
        <v>0</v>
      </c>
      <c r="G128" s="546"/>
      <c r="H128" s="462"/>
      <c r="I128" s="462"/>
      <c r="J128" s="462"/>
      <c r="K128" s="462"/>
      <c r="L128" s="462"/>
      <c r="M128" s="462">
        <f t="shared" si="81"/>
        <v>0</v>
      </c>
      <c r="N128" s="546"/>
      <c r="O128" s="462"/>
      <c r="P128" s="462"/>
      <c r="Q128" s="462"/>
      <c r="R128" s="462"/>
      <c r="S128" s="549"/>
      <c r="T128" s="549">
        <f t="shared" si="75"/>
        <v>0</v>
      </c>
      <c r="U128" s="549">
        <f t="shared" si="78"/>
        <v>0</v>
      </c>
      <c r="V128" s="549"/>
      <c r="W128" s="549">
        <f t="shared" si="76"/>
        <v>0</v>
      </c>
      <c r="X128" s="546">
        <f t="shared" si="77"/>
        <v>0</v>
      </c>
    </row>
    <row r="129" spans="1:26">
      <c r="A129" s="431"/>
      <c r="B129" s="436" t="s">
        <v>511</v>
      </c>
      <c r="C129" s="488"/>
      <c r="D129" s="488"/>
      <c r="E129" s="488">
        <f t="shared" ref="E129:E131" si="115">F129+M129</f>
        <v>2500</v>
      </c>
      <c r="F129" s="462">
        <f t="shared" si="80"/>
        <v>0</v>
      </c>
      <c r="G129" s="546"/>
      <c r="H129" s="462"/>
      <c r="I129" s="462"/>
      <c r="J129" s="462"/>
      <c r="K129" s="462"/>
      <c r="L129" s="462"/>
      <c r="M129" s="462">
        <f t="shared" si="81"/>
        <v>2500</v>
      </c>
      <c r="N129" s="546"/>
      <c r="O129" s="462"/>
      <c r="P129" s="462"/>
      <c r="Q129" s="462"/>
      <c r="R129" s="462">
        <v>2500</v>
      </c>
      <c r="S129" s="549"/>
      <c r="T129" s="549">
        <f t="shared" si="75"/>
        <v>0</v>
      </c>
      <c r="U129" s="549">
        <f t="shared" si="78"/>
        <v>0</v>
      </c>
      <c r="V129" s="549"/>
      <c r="W129" s="549">
        <f t="shared" si="76"/>
        <v>0</v>
      </c>
      <c r="X129" s="546">
        <f t="shared" si="77"/>
        <v>0</v>
      </c>
    </row>
    <row r="130" spans="1:26" s="579" customFormat="1">
      <c r="A130" s="587"/>
      <c r="B130" s="588" t="s">
        <v>463</v>
      </c>
      <c r="C130" s="546"/>
      <c r="D130" s="546"/>
      <c r="E130" s="546">
        <f t="shared" si="115"/>
        <v>69276</v>
      </c>
      <c r="F130" s="546">
        <f t="shared" si="80"/>
        <v>56524</v>
      </c>
      <c r="G130" s="546"/>
      <c r="H130" s="546"/>
      <c r="I130" s="546"/>
      <c r="J130" s="546"/>
      <c r="K130" s="546"/>
      <c r="L130" s="546">
        <f>X130</f>
        <v>56524</v>
      </c>
      <c r="M130" s="546">
        <f t="shared" si="81"/>
        <v>12752</v>
      </c>
      <c r="N130" s="546"/>
      <c r="O130" s="546"/>
      <c r="P130" s="546">
        <f>5061+7691</f>
        <v>12752</v>
      </c>
      <c r="Q130" s="546"/>
      <c r="R130" s="546"/>
      <c r="S130" s="549"/>
      <c r="T130" s="549">
        <f t="shared" si="75"/>
        <v>0</v>
      </c>
      <c r="U130" s="549">
        <f t="shared" si="78"/>
        <v>0</v>
      </c>
      <c r="V130" s="549">
        <f>20000+11854+638+7691+19216+9877</f>
        <v>69276</v>
      </c>
      <c r="W130" s="549">
        <f t="shared" si="76"/>
        <v>12752</v>
      </c>
      <c r="X130" s="546">
        <f t="shared" si="77"/>
        <v>56524</v>
      </c>
    </row>
    <row r="131" spans="1:26">
      <c r="A131" s="431"/>
      <c r="B131" s="436" t="s">
        <v>513</v>
      </c>
      <c r="C131" s="488"/>
      <c r="D131" s="488"/>
      <c r="E131" s="488">
        <f t="shared" si="115"/>
        <v>0</v>
      </c>
      <c r="F131" s="462">
        <f t="shared" si="80"/>
        <v>0</v>
      </c>
      <c r="G131" s="546"/>
      <c r="H131" s="462"/>
      <c r="I131" s="462"/>
      <c r="J131" s="462"/>
      <c r="K131" s="462"/>
      <c r="L131" s="462"/>
      <c r="M131" s="462">
        <f t="shared" si="81"/>
        <v>0</v>
      </c>
      <c r="N131" s="546"/>
      <c r="O131" s="462"/>
      <c r="P131" s="462"/>
      <c r="Q131" s="462"/>
      <c r="R131" s="462"/>
      <c r="S131" s="549"/>
      <c r="T131" s="549">
        <f t="shared" si="75"/>
        <v>0</v>
      </c>
      <c r="U131" s="549">
        <f t="shared" si="78"/>
        <v>0</v>
      </c>
      <c r="V131" s="549"/>
      <c r="W131" s="549">
        <f t="shared" si="76"/>
        <v>0</v>
      </c>
      <c r="X131" s="546">
        <f t="shared" si="77"/>
        <v>0</v>
      </c>
    </row>
    <row r="132" spans="1:26">
      <c r="A132" s="431" t="s">
        <v>433</v>
      </c>
      <c r="B132" s="436" t="s">
        <v>446</v>
      </c>
      <c r="C132" s="488">
        <v>1475</v>
      </c>
      <c r="D132" s="488"/>
      <c r="E132" s="488">
        <f t="shared" si="82"/>
        <v>9475</v>
      </c>
      <c r="F132" s="462">
        <f t="shared" si="80"/>
        <v>9475</v>
      </c>
      <c r="G132" s="546"/>
      <c r="H132" s="462"/>
      <c r="I132" s="462"/>
      <c r="J132" s="462"/>
      <c r="K132" s="462"/>
      <c r="L132" s="462">
        <f>1475+8000</f>
        <v>9475</v>
      </c>
      <c r="M132" s="462">
        <f t="shared" si="81"/>
        <v>0</v>
      </c>
      <c r="N132" s="546"/>
      <c r="O132" s="462"/>
      <c r="P132" s="462"/>
      <c r="Q132" s="462"/>
      <c r="R132" s="462"/>
      <c r="S132" s="549"/>
      <c r="T132" s="549">
        <f t="shared" si="75"/>
        <v>0</v>
      </c>
      <c r="U132" s="549">
        <f t="shared" si="78"/>
        <v>0</v>
      </c>
      <c r="V132" s="549"/>
      <c r="W132" s="549">
        <f t="shared" si="76"/>
        <v>0</v>
      </c>
      <c r="X132" s="546">
        <f t="shared" si="77"/>
        <v>0</v>
      </c>
    </row>
    <row r="133" spans="1:26">
      <c r="A133" s="431" t="s">
        <v>433</v>
      </c>
      <c r="B133" s="436" t="s">
        <v>465</v>
      </c>
      <c r="C133" s="488">
        <v>169600</v>
      </c>
      <c r="D133" s="488"/>
      <c r="E133" s="488">
        <f t="shared" si="82"/>
        <v>0</v>
      </c>
      <c r="F133" s="462">
        <f t="shared" si="80"/>
        <v>0</v>
      </c>
      <c r="G133" s="546"/>
      <c r="H133" s="462"/>
      <c r="I133" s="462"/>
      <c r="J133" s="462"/>
      <c r="K133" s="462"/>
      <c r="L133" s="462"/>
      <c r="M133" s="462">
        <f t="shared" si="81"/>
        <v>0</v>
      </c>
      <c r="N133" s="546"/>
      <c r="O133" s="462"/>
      <c r="P133" s="462"/>
      <c r="Q133" s="462"/>
      <c r="R133" s="462"/>
      <c r="S133" s="549"/>
      <c r="T133" s="549">
        <f t="shared" si="75"/>
        <v>0</v>
      </c>
      <c r="U133" s="549">
        <f t="shared" si="78"/>
        <v>0</v>
      </c>
      <c r="V133" s="549"/>
      <c r="W133" s="549">
        <f t="shared" si="76"/>
        <v>0</v>
      </c>
      <c r="X133" s="546">
        <f t="shared" si="77"/>
        <v>0</v>
      </c>
    </row>
    <row r="134" spans="1:26" s="651" customFormat="1" ht="31.5">
      <c r="A134" s="645" t="s">
        <v>433</v>
      </c>
      <c r="B134" s="646" t="s">
        <v>657</v>
      </c>
      <c r="C134" s="647">
        <v>0</v>
      </c>
      <c r="D134" s="647"/>
      <c r="E134" s="647">
        <f t="shared" si="82"/>
        <v>28737</v>
      </c>
      <c r="F134" s="648">
        <f t="shared" si="80"/>
        <v>28737</v>
      </c>
      <c r="G134" s="649"/>
      <c r="H134" s="648"/>
      <c r="I134" s="648"/>
      <c r="J134" s="648"/>
      <c r="K134" s="648"/>
      <c r="L134" s="648">
        <f>V134-M134-J134</f>
        <v>28737</v>
      </c>
      <c r="M134" s="648">
        <f t="shared" si="81"/>
        <v>0</v>
      </c>
      <c r="N134" s="649"/>
      <c r="O134" s="648"/>
      <c r="P134" s="648"/>
      <c r="Q134" s="648"/>
      <c r="R134" s="648"/>
      <c r="S134" s="650"/>
      <c r="T134" s="650">
        <f t="shared" si="75"/>
        <v>0</v>
      </c>
      <c r="U134" s="650">
        <f t="shared" si="78"/>
        <v>0</v>
      </c>
      <c r="V134" s="650">
        <f>20000+88737-80000</f>
        <v>28737</v>
      </c>
      <c r="W134" s="650">
        <f t="shared" si="76"/>
        <v>0</v>
      </c>
      <c r="X134" s="649">
        <f t="shared" si="77"/>
        <v>28737</v>
      </c>
      <c r="Z134" s="651">
        <v>108737</v>
      </c>
    </row>
    <row r="135" spans="1:26">
      <c r="A135" s="431" t="s">
        <v>433</v>
      </c>
      <c r="B135" s="436" t="s">
        <v>533</v>
      </c>
      <c r="C135" s="488">
        <v>0</v>
      </c>
      <c r="D135" s="488"/>
      <c r="E135" s="488">
        <f t="shared" si="82"/>
        <v>0</v>
      </c>
      <c r="F135" s="462">
        <f t="shared" si="80"/>
        <v>0</v>
      </c>
      <c r="G135" s="546"/>
      <c r="H135" s="462"/>
      <c r="I135" s="462"/>
      <c r="J135" s="462"/>
      <c r="K135" s="462"/>
      <c r="L135" s="462"/>
      <c r="M135" s="462">
        <f t="shared" si="81"/>
        <v>0</v>
      </c>
      <c r="N135" s="546"/>
      <c r="O135" s="462"/>
      <c r="P135" s="462"/>
      <c r="Q135" s="462"/>
      <c r="R135" s="462"/>
      <c r="S135" s="549"/>
      <c r="T135" s="549">
        <f t="shared" si="75"/>
        <v>0</v>
      </c>
      <c r="U135" s="549">
        <f t="shared" si="78"/>
        <v>0</v>
      </c>
      <c r="V135" s="549"/>
      <c r="W135" s="549">
        <f t="shared" si="76"/>
        <v>0</v>
      </c>
      <c r="X135" s="546">
        <f t="shared" si="77"/>
        <v>0</v>
      </c>
    </row>
    <row r="136" spans="1:26">
      <c r="A136" s="431" t="s">
        <v>433</v>
      </c>
      <c r="B136" s="436" t="s">
        <v>402</v>
      </c>
      <c r="C136" s="488">
        <v>60242</v>
      </c>
      <c r="D136" s="488"/>
      <c r="E136" s="488">
        <f t="shared" si="82"/>
        <v>196214</v>
      </c>
      <c r="F136" s="462">
        <f t="shared" si="80"/>
        <v>196214</v>
      </c>
      <c r="G136" s="546"/>
      <c r="H136" s="462"/>
      <c r="I136" s="462"/>
      <c r="J136" s="462"/>
      <c r="K136" s="462"/>
      <c r="L136" s="462">
        <f>196614-400</f>
        <v>196214</v>
      </c>
      <c r="M136" s="462">
        <f t="shared" si="81"/>
        <v>0</v>
      </c>
      <c r="N136" s="546"/>
      <c r="O136" s="462"/>
      <c r="P136" s="462"/>
      <c r="Q136" s="462"/>
      <c r="R136" s="462"/>
      <c r="S136" s="549"/>
      <c r="T136" s="549">
        <f t="shared" si="75"/>
        <v>0</v>
      </c>
      <c r="U136" s="549">
        <f t="shared" si="78"/>
        <v>0</v>
      </c>
      <c r="V136" s="549"/>
      <c r="W136" s="549">
        <f t="shared" si="76"/>
        <v>0</v>
      </c>
      <c r="X136" s="546">
        <f t="shared" si="77"/>
        <v>0</v>
      </c>
    </row>
    <row r="137" spans="1:26" s="685" customFormat="1">
      <c r="A137" s="681">
        <v>10</v>
      </c>
      <c r="B137" s="682" t="s">
        <v>20</v>
      </c>
      <c r="C137" s="683">
        <f>SUM(C138:C150)</f>
        <v>1639492</v>
      </c>
      <c r="D137" s="683">
        <f>E137-C137-E144-E145-E146-E147</f>
        <v>-10539</v>
      </c>
      <c r="E137" s="683">
        <f>F137+M137</f>
        <v>2019780</v>
      </c>
      <c r="F137" s="683">
        <f t="shared" si="80"/>
        <v>927360</v>
      </c>
      <c r="G137" s="683">
        <f>SUM(G138:G150)</f>
        <v>216007</v>
      </c>
      <c r="H137" s="683">
        <f t="shared" ref="H137" si="116">SUM(H138:H150)</f>
        <v>0</v>
      </c>
      <c r="I137" s="683">
        <f t="shared" ref="I137" si="117">SUM(I138:I150)</f>
        <v>0</v>
      </c>
      <c r="J137" s="683">
        <f t="shared" ref="J137" si="118">SUM(J138:J150)</f>
        <v>0</v>
      </c>
      <c r="K137" s="683">
        <f t="shared" ref="K137" si="119">SUM(K138:K150)</f>
        <v>0</v>
      </c>
      <c r="L137" s="683">
        <f>SUM(L138:L150)</f>
        <v>711353</v>
      </c>
      <c r="M137" s="683">
        <f>SUM(N137:R137)</f>
        <v>1092420</v>
      </c>
      <c r="N137" s="683">
        <f>SUM(N138:N150)</f>
        <v>1011775</v>
      </c>
      <c r="O137" s="683">
        <f t="shared" ref="O137" si="120">SUM(O138:O150)</f>
        <v>0</v>
      </c>
      <c r="P137" s="683">
        <f t="shared" ref="P137" si="121">SUM(P138:P150)</f>
        <v>9619</v>
      </c>
      <c r="Q137" s="683">
        <f>SUM(Q138:Q150)</f>
        <v>0</v>
      </c>
      <c r="R137" s="683">
        <f>SUM(R138:R150)</f>
        <v>71026</v>
      </c>
      <c r="S137" s="683"/>
      <c r="T137" s="683">
        <f t="shared" si="75"/>
        <v>0</v>
      </c>
      <c r="U137" s="683">
        <f t="shared" si="78"/>
        <v>0</v>
      </c>
      <c r="V137" s="683">
        <f>SUM(V138:V150)</f>
        <v>319801</v>
      </c>
      <c r="W137" s="683">
        <f t="shared" si="76"/>
        <v>9619</v>
      </c>
      <c r="X137" s="684">
        <f t="shared" si="77"/>
        <v>310182</v>
      </c>
    </row>
    <row r="138" spans="1:26">
      <c r="A138" s="431" t="s">
        <v>433</v>
      </c>
      <c r="B138" s="436" t="s">
        <v>37</v>
      </c>
      <c r="C138" s="488">
        <v>470653</v>
      </c>
      <c r="D138" s="488"/>
      <c r="E138" s="488">
        <f t="shared" si="82"/>
        <v>490832</v>
      </c>
      <c r="F138" s="462">
        <f t="shared" si="80"/>
        <v>50322</v>
      </c>
      <c r="G138" s="546">
        <f>43102+15399-10976+2797</f>
        <v>50322</v>
      </c>
      <c r="H138" s="462"/>
      <c r="I138" s="462"/>
      <c r="J138" s="462"/>
      <c r="K138" s="462"/>
      <c r="L138" s="462"/>
      <c r="M138" s="462">
        <f t="shared" si="81"/>
        <v>440510</v>
      </c>
      <c r="N138" s="546">
        <v>440510</v>
      </c>
      <c r="O138" s="462"/>
      <c r="P138" s="462"/>
      <c r="Q138" s="462"/>
      <c r="R138" s="462"/>
      <c r="S138" s="549"/>
      <c r="T138" s="549">
        <f t="shared" ref="T138:T215" si="122">I138+O138</f>
        <v>0</v>
      </c>
      <c r="U138" s="549">
        <f t="shared" si="78"/>
        <v>0</v>
      </c>
      <c r="V138" s="549"/>
      <c r="W138" s="549">
        <f t="shared" si="76"/>
        <v>0</v>
      </c>
      <c r="X138" s="546">
        <f t="shared" si="77"/>
        <v>0</v>
      </c>
    </row>
    <row r="139" spans="1:26">
      <c r="A139" s="431" t="s">
        <v>433</v>
      </c>
      <c r="B139" s="436" t="s">
        <v>437</v>
      </c>
      <c r="C139" s="488">
        <v>471791</v>
      </c>
      <c r="D139" s="488"/>
      <c r="E139" s="488">
        <f>F139+M139</f>
        <v>596337</v>
      </c>
      <c r="F139" s="462">
        <f t="shared" si="80"/>
        <v>133235</v>
      </c>
      <c r="G139" s="546">
        <f>5310+126575+400+350+600</f>
        <v>133235</v>
      </c>
      <c r="H139" s="462"/>
      <c r="I139" s="462"/>
      <c r="J139" s="462"/>
      <c r="K139" s="462"/>
      <c r="L139" s="462"/>
      <c r="M139" s="462">
        <f>SUM(N139:R139)</f>
        <v>463102</v>
      </c>
      <c r="N139" s="546">
        <f>361866-361866+339565-2026-40960-52977-3860-5759+69009+158000+800+1310</f>
        <v>463102</v>
      </c>
      <c r="O139" s="462"/>
      <c r="P139" s="462"/>
      <c r="Q139" s="462"/>
      <c r="R139" s="462"/>
      <c r="S139" s="549"/>
      <c r="T139" s="549">
        <f t="shared" si="122"/>
        <v>0</v>
      </c>
      <c r="U139" s="549">
        <f>S139-T139</f>
        <v>0</v>
      </c>
      <c r="V139" s="549"/>
      <c r="W139" s="549">
        <f t="shared" si="76"/>
        <v>0</v>
      </c>
      <c r="X139" s="546">
        <f t="shared" si="77"/>
        <v>0</v>
      </c>
    </row>
    <row r="140" spans="1:26">
      <c r="A140" s="431" t="s">
        <v>433</v>
      </c>
      <c r="B140" s="108" t="s">
        <v>126</v>
      </c>
      <c r="C140" s="488">
        <v>87641</v>
      </c>
      <c r="D140" s="488"/>
      <c r="E140" s="488">
        <f t="shared" si="82"/>
        <v>101867</v>
      </c>
      <c r="F140" s="462">
        <f t="shared" si="80"/>
        <v>46681</v>
      </c>
      <c r="G140" s="546">
        <v>32450</v>
      </c>
      <c r="H140" s="462"/>
      <c r="I140" s="462"/>
      <c r="J140" s="462"/>
      <c r="K140" s="462"/>
      <c r="L140" s="462">
        <f>25641-11410</f>
        <v>14231</v>
      </c>
      <c r="M140" s="546">
        <f t="shared" si="81"/>
        <v>55186</v>
      </c>
      <c r="N140" s="546">
        <f>29550-29550+40960+14226</f>
        <v>55186</v>
      </c>
      <c r="O140" s="462"/>
      <c r="P140" s="462"/>
      <c r="Q140" s="546"/>
      <c r="R140" s="546"/>
      <c r="S140" s="549"/>
      <c r="T140" s="549">
        <f t="shared" si="122"/>
        <v>0</v>
      </c>
      <c r="U140" s="549">
        <f>S140-T140</f>
        <v>0</v>
      </c>
      <c r="V140" s="549"/>
      <c r="W140" s="549">
        <f t="shared" ref="W140:W215" si="123">J140+P140</f>
        <v>0</v>
      </c>
      <c r="X140" s="546">
        <f t="shared" ref="X140:X215" si="124">V140-W140</f>
        <v>0</v>
      </c>
    </row>
    <row r="141" spans="1:26" ht="31.5">
      <c r="A141" s="431" t="s">
        <v>433</v>
      </c>
      <c r="B141" s="108" t="s">
        <v>171</v>
      </c>
      <c r="C141" s="488">
        <v>53261</v>
      </c>
      <c r="D141" s="488"/>
      <c r="E141" s="488">
        <f t="shared" si="82"/>
        <v>53261</v>
      </c>
      <c r="F141" s="462">
        <f t="shared" si="80"/>
        <v>284</v>
      </c>
      <c r="G141" s="546"/>
      <c r="H141" s="462"/>
      <c r="I141" s="462"/>
      <c r="J141" s="462"/>
      <c r="K141" s="462"/>
      <c r="L141" s="462">
        <f>6401-6117</f>
        <v>284</v>
      </c>
      <c r="M141" s="546">
        <f t="shared" si="81"/>
        <v>52977</v>
      </c>
      <c r="N141" s="546">
        <f>46860-46860+52977</f>
        <v>52977</v>
      </c>
      <c r="O141" s="462"/>
      <c r="P141" s="462"/>
      <c r="Q141" s="546"/>
      <c r="R141" s="546"/>
      <c r="S141" s="549"/>
      <c r="T141" s="549">
        <f t="shared" si="122"/>
        <v>0</v>
      </c>
      <c r="U141" s="549">
        <f>S141-T141</f>
        <v>0</v>
      </c>
      <c r="V141" s="549"/>
      <c r="W141" s="549">
        <f t="shared" si="123"/>
        <v>0</v>
      </c>
      <c r="X141" s="546">
        <f t="shared" si="124"/>
        <v>0</v>
      </c>
    </row>
    <row r="142" spans="1:26">
      <c r="A142" s="431" t="s">
        <v>433</v>
      </c>
      <c r="B142" s="108" t="s">
        <v>529</v>
      </c>
      <c r="C142" s="488">
        <v>0</v>
      </c>
      <c r="D142" s="488"/>
      <c r="E142" s="488">
        <f t="shared" si="82"/>
        <v>0</v>
      </c>
      <c r="F142" s="462">
        <f t="shared" si="80"/>
        <v>0</v>
      </c>
      <c r="G142" s="546"/>
      <c r="H142" s="462"/>
      <c r="I142" s="462"/>
      <c r="J142" s="462"/>
      <c r="K142" s="462"/>
      <c r="L142" s="462"/>
      <c r="M142" s="546">
        <f t="shared" si="81"/>
        <v>0</v>
      </c>
      <c r="N142" s="546"/>
      <c r="O142" s="462"/>
      <c r="P142" s="462"/>
      <c r="Q142" s="546"/>
      <c r="R142" s="546"/>
      <c r="S142" s="549"/>
      <c r="T142" s="549">
        <f t="shared" si="122"/>
        <v>0</v>
      </c>
      <c r="U142" s="549"/>
      <c r="V142" s="549"/>
      <c r="W142" s="549">
        <f t="shared" si="123"/>
        <v>0</v>
      </c>
      <c r="X142" s="546">
        <f t="shared" si="124"/>
        <v>0</v>
      </c>
    </row>
    <row r="143" spans="1:26">
      <c r="A143" s="431" t="s">
        <v>433</v>
      </c>
      <c r="B143" s="108" t="s">
        <v>174</v>
      </c>
      <c r="C143" s="488">
        <v>6000</v>
      </c>
      <c r="D143" s="488"/>
      <c r="E143" s="488">
        <f t="shared" si="82"/>
        <v>6000</v>
      </c>
      <c r="F143" s="462">
        <f t="shared" si="80"/>
        <v>6000</v>
      </c>
      <c r="G143" s="546"/>
      <c r="H143" s="462"/>
      <c r="I143" s="462"/>
      <c r="J143" s="462"/>
      <c r="K143" s="462"/>
      <c r="L143" s="462">
        <v>6000</v>
      </c>
      <c r="M143" s="462">
        <f t="shared" si="81"/>
        <v>0</v>
      </c>
      <c r="N143" s="546"/>
      <c r="O143" s="462"/>
      <c r="P143" s="462"/>
      <c r="Q143" s="462"/>
      <c r="R143" s="462"/>
      <c r="S143" s="549"/>
      <c r="T143" s="549">
        <f t="shared" si="122"/>
        <v>0</v>
      </c>
      <c r="U143" s="549">
        <f>S143-T143</f>
        <v>0</v>
      </c>
      <c r="V143" s="549"/>
      <c r="W143" s="549">
        <f t="shared" si="123"/>
        <v>0</v>
      </c>
      <c r="X143" s="546">
        <f t="shared" si="124"/>
        <v>0</v>
      </c>
    </row>
    <row r="144" spans="1:26">
      <c r="A144" s="431" t="s">
        <v>470</v>
      </c>
      <c r="B144" s="436" t="s">
        <v>499</v>
      </c>
      <c r="C144" s="488"/>
      <c r="D144" s="488"/>
      <c r="E144" s="488">
        <f>F144+M144</f>
        <v>0</v>
      </c>
      <c r="F144" s="462">
        <f t="shared" si="80"/>
        <v>0</v>
      </c>
      <c r="G144" s="546"/>
      <c r="H144" s="462"/>
      <c r="I144" s="462"/>
      <c r="J144" s="462"/>
      <c r="K144" s="462"/>
      <c r="L144" s="462"/>
      <c r="M144" s="462">
        <f t="shared" si="81"/>
        <v>0</v>
      </c>
      <c r="N144" s="546"/>
      <c r="O144" s="462"/>
      <c r="P144" s="462"/>
      <c r="Q144" s="462"/>
      <c r="R144" s="462"/>
      <c r="S144" s="549"/>
      <c r="T144" s="549">
        <f t="shared" si="122"/>
        <v>0</v>
      </c>
      <c r="U144" s="549">
        <f>S144-T144</f>
        <v>0</v>
      </c>
      <c r="V144" s="549"/>
      <c r="W144" s="549">
        <f t="shared" si="123"/>
        <v>0</v>
      </c>
      <c r="X144" s="546">
        <f t="shared" si="124"/>
        <v>0</v>
      </c>
    </row>
    <row r="145" spans="1:26">
      <c r="A145" s="431"/>
      <c r="B145" s="436" t="s">
        <v>511</v>
      </c>
      <c r="C145" s="488"/>
      <c r="D145" s="488"/>
      <c r="E145" s="488">
        <f t="shared" ref="E145:E147" si="125">F145+M145</f>
        <v>71026</v>
      </c>
      <c r="F145" s="462">
        <f t="shared" si="80"/>
        <v>0</v>
      </c>
      <c r="G145" s="546"/>
      <c r="H145" s="462"/>
      <c r="I145" s="462"/>
      <c r="J145" s="462"/>
      <c r="K145" s="462"/>
      <c r="L145" s="462"/>
      <c r="M145" s="462">
        <f t="shared" si="81"/>
        <v>71026</v>
      </c>
      <c r="N145" s="546"/>
      <c r="O145" s="462"/>
      <c r="P145" s="462"/>
      <c r="Q145" s="462"/>
      <c r="R145" s="462">
        <f>58526+12500</f>
        <v>71026</v>
      </c>
      <c r="S145" s="549"/>
      <c r="T145" s="549">
        <f t="shared" si="122"/>
        <v>0</v>
      </c>
      <c r="U145" s="549">
        <f t="shared" ref="U145:U192" si="126">S145-T145</f>
        <v>0</v>
      </c>
      <c r="V145" s="549"/>
      <c r="W145" s="549">
        <f t="shared" si="123"/>
        <v>0</v>
      </c>
      <c r="X145" s="546">
        <f t="shared" si="124"/>
        <v>0</v>
      </c>
    </row>
    <row r="146" spans="1:26" s="579" customFormat="1">
      <c r="A146" s="587"/>
      <c r="B146" s="588" t="s">
        <v>463</v>
      </c>
      <c r="C146" s="546"/>
      <c r="D146" s="546"/>
      <c r="E146" s="546">
        <f t="shared" si="125"/>
        <v>118022</v>
      </c>
      <c r="F146" s="546">
        <f t="shared" si="80"/>
        <v>114162</v>
      </c>
      <c r="G146" s="546"/>
      <c r="H146" s="546"/>
      <c r="I146" s="546"/>
      <c r="J146" s="546"/>
      <c r="K146" s="546"/>
      <c r="L146" s="546">
        <f>X146</f>
        <v>114162</v>
      </c>
      <c r="M146" s="546">
        <f t="shared" si="81"/>
        <v>3860</v>
      </c>
      <c r="N146" s="546"/>
      <c r="O146" s="546"/>
      <c r="P146" s="546">
        <v>3860</v>
      </c>
      <c r="Q146" s="546"/>
      <c r="R146" s="546"/>
      <c r="S146" s="549"/>
      <c r="T146" s="549">
        <f t="shared" si="122"/>
        <v>0</v>
      </c>
      <c r="U146" s="549">
        <f t="shared" si="126"/>
        <v>0</v>
      </c>
      <c r="V146" s="549">
        <f>3421+(113738-3860)+3860+67+796</f>
        <v>118022</v>
      </c>
      <c r="W146" s="549">
        <f t="shared" si="123"/>
        <v>3860</v>
      </c>
      <c r="X146" s="546">
        <f t="shared" si="124"/>
        <v>114162</v>
      </c>
    </row>
    <row r="147" spans="1:26" s="651" customFormat="1" ht="31.5">
      <c r="A147" s="645"/>
      <c r="B147" s="646" t="s">
        <v>657</v>
      </c>
      <c r="C147" s="647"/>
      <c r="D147" s="647"/>
      <c r="E147" s="647">
        <f t="shared" si="125"/>
        <v>201779</v>
      </c>
      <c r="F147" s="648">
        <f t="shared" si="80"/>
        <v>196020</v>
      </c>
      <c r="G147" s="649"/>
      <c r="H147" s="648"/>
      <c r="I147" s="648"/>
      <c r="J147" s="648"/>
      <c r="K147" s="648"/>
      <c r="L147" s="648">
        <f>V147-M147</f>
        <v>196020</v>
      </c>
      <c r="M147" s="648">
        <f t="shared" si="81"/>
        <v>5759</v>
      </c>
      <c r="N147" s="649"/>
      <c r="O147" s="648"/>
      <c r="P147" s="648">
        <v>5759</v>
      </c>
      <c r="Q147" s="648"/>
      <c r="R147" s="648"/>
      <c r="S147" s="650"/>
      <c r="T147" s="650">
        <f t="shared" si="122"/>
        <v>0</v>
      </c>
      <c r="U147" s="650">
        <f t="shared" si="126"/>
        <v>0</v>
      </c>
      <c r="V147" s="648">
        <f>67432+150000+10000+30000+5759+5500+10000+103140+5000+5000-4992-3560-11500-20000-150000</f>
        <v>201779</v>
      </c>
      <c r="W147" s="650">
        <f t="shared" si="123"/>
        <v>5759</v>
      </c>
      <c r="X147" s="649">
        <f t="shared" si="124"/>
        <v>196020</v>
      </c>
      <c r="Z147" s="651">
        <v>351779</v>
      </c>
    </row>
    <row r="148" spans="1:26">
      <c r="A148" s="431" t="s">
        <v>433</v>
      </c>
      <c r="B148" s="436" t="s">
        <v>446</v>
      </c>
      <c r="C148" s="488">
        <v>6417</v>
      </c>
      <c r="D148" s="488"/>
      <c r="E148" s="488">
        <f t="shared" si="82"/>
        <v>11417</v>
      </c>
      <c r="F148" s="462">
        <f t="shared" si="80"/>
        <v>11417</v>
      </c>
      <c r="G148" s="546"/>
      <c r="H148" s="462"/>
      <c r="I148" s="462"/>
      <c r="J148" s="462"/>
      <c r="K148" s="462"/>
      <c r="L148" s="462">
        <f>6417+5000</f>
        <v>11417</v>
      </c>
      <c r="M148" s="462">
        <f t="shared" si="81"/>
        <v>0</v>
      </c>
      <c r="N148" s="546"/>
      <c r="O148" s="462"/>
      <c r="P148" s="462"/>
      <c r="Q148" s="462"/>
      <c r="R148" s="462"/>
      <c r="S148" s="549"/>
      <c r="T148" s="549">
        <f t="shared" si="122"/>
        <v>0</v>
      </c>
      <c r="U148" s="549">
        <f t="shared" ref="U148:U156" si="127">S148-T148</f>
        <v>0</v>
      </c>
      <c r="V148" s="549"/>
      <c r="W148" s="549">
        <f t="shared" si="123"/>
        <v>0</v>
      </c>
      <c r="X148" s="546">
        <f t="shared" si="124"/>
        <v>0</v>
      </c>
    </row>
    <row r="149" spans="1:26">
      <c r="A149" s="431" t="s">
        <v>433</v>
      </c>
      <c r="B149" s="436" t="s">
        <v>465</v>
      </c>
      <c r="C149" s="488">
        <v>188420</v>
      </c>
      <c r="D149" s="488"/>
      <c r="E149" s="488">
        <f t="shared" si="82"/>
        <v>0</v>
      </c>
      <c r="F149" s="462">
        <f t="shared" si="80"/>
        <v>0</v>
      </c>
      <c r="G149" s="546"/>
      <c r="H149" s="462"/>
      <c r="I149" s="462"/>
      <c r="J149" s="462"/>
      <c r="K149" s="462"/>
      <c r="L149" s="462"/>
      <c r="M149" s="462">
        <f t="shared" si="81"/>
        <v>0</v>
      </c>
      <c r="N149" s="546"/>
      <c r="O149" s="462"/>
      <c r="P149" s="462"/>
      <c r="Q149" s="462"/>
      <c r="R149" s="462"/>
      <c r="S149" s="549"/>
      <c r="T149" s="549">
        <f t="shared" si="122"/>
        <v>0</v>
      </c>
      <c r="U149" s="549">
        <f t="shared" si="127"/>
        <v>0</v>
      </c>
      <c r="V149" s="549"/>
      <c r="W149" s="549">
        <f t="shared" si="123"/>
        <v>0</v>
      </c>
      <c r="X149" s="546">
        <f t="shared" si="124"/>
        <v>0</v>
      </c>
    </row>
    <row r="150" spans="1:26">
      <c r="A150" s="431" t="s">
        <v>433</v>
      </c>
      <c r="B150" s="436" t="s">
        <v>402</v>
      </c>
      <c r="C150" s="488">
        <v>355309</v>
      </c>
      <c r="D150" s="488"/>
      <c r="E150" s="488">
        <f t="shared" si="82"/>
        <v>369239</v>
      </c>
      <c r="F150" s="462">
        <f t="shared" si="80"/>
        <v>369239</v>
      </c>
      <c r="G150" s="546"/>
      <c r="H150" s="462"/>
      <c r="I150" s="462"/>
      <c r="J150" s="462"/>
      <c r="K150" s="462"/>
      <c r="L150" s="462">
        <f>352710-800-1310+20000-1361</f>
        <v>369239</v>
      </c>
      <c r="M150" s="462">
        <f t="shared" si="81"/>
        <v>0</v>
      </c>
      <c r="N150" s="546"/>
      <c r="O150" s="462"/>
      <c r="P150" s="462"/>
      <c r="Q150" s="462"/>
      <c r="R150" s="462"/>
      <c r="S150" s="549"/>
      <c r="T150" s="549">
        <f t="shared" si="122"/>
        <v>0</v>
      </c>
      <c r="U150" s="549">
        <f t="shared" si="127"/>
        <v>0</v>
      </c>
      <c r="V150" s="549"/>
      <c r="W150" s="549">
        <f t="shared" si="123"/>
        <v>0</v>
      </c>
      <c r="X150" s="546">
        <f t="shared" si="124"/>
        <v>0</v>
      </c>
    </row>
    <row r="151" spans="1:26" s="685" customFormat="1">
      <c r="A151" s="681">
        <v>11</v>
      </c>
      <c r="B151" s="682" t="s">
        <v>131</v>
      </c>
      <c r="C151" s="683">
        <f>SUM(C152:C155)</f>
        <v>160306</v>
      </c>
      <c r="D151" s="683"/>
      <c r="E151" s="683">
        <f t="shared" si="82"/>
        <v>171528</v>
      </c>
      <c r="F151" s="683">
        <f t="shared" si="80"/>
        <v>102624</v>
      </c>
      <c r="G151" s="683">
        <f>SUM(G152:G155)</f>
        <v>39545</v>
      </c>
      <c r="H151" s="683">
        <f t="shared" ref="H151" si="128">SUM(H152:H155)</f>
        <v>0</v>
      </c>
      <c r="I151" s="683">
        <f t="shared" ref="I151" si="129">SUM(I152:I155)</f>
        <v>0</v>
      </c>
      <c r="J151" s="683">
        <f t="shared" ref="J151" si="130">SUM(J152:J155)</f>
        <v>0</v>
      </c>
      <c r="K151" s="683">
        <f t="shared" ref="K151" si="131">SUM(K152:K155)</f>
        <v>0</v>
      </c>
      <c r="L151" s="683">
        <f t="shared" ref="L151:R151" si="132">SUM(L152:L155)</f>
        <v>63079</v>
      </c>
      <c r="M151" s="683">
        <f>SUM(N151:R151)</f>
        <v>68904</v>
      </c>
      <c r="N151" s="683">
        <f t="shared" si="132"/>
        <v>67420</v>
      </c>
      <c r="O151" s="683">
        <f t="shared" ref="O151" si="133">SUM(O152:O155)</f>
        <v>0</v>
      </c>
      <c r="P151" s="683">
        <f t="shared" ref="P151" si="134">SUM(P152:P155)</f>
        <v>0</v>
      </c>
      <c r="Q151" s="683">
        <f t="shared" si="132"/>
        <v>0</v>
      </c>
      <c r="R151" s="683">
        <f t="shared" si="132"/>
        <v>1484</v>
      </c>
      <c r="S151" s="683"/>
      <c r="T151" s="683">
        <f t="shared" si="122"/>
        <v>0</v>
      </c>
      <c r="U151" s="683">
        <f t="shared" si="127"/>
        <v>0</v>
      </c>
      <c r="V151" s="683">
        <f>SUM(V152:V155)</f>
        <v>0</v>
      </c>
      <c r="W151" s="683">
        <f t="shared" si="123"/>
        <v>0</v>
      </c>
      <c r="X151" s="684">
        <f t="shared" si="124"/>
        <v>0</v>
      </c>
    </row>
    <row r="152" spans="1:26">
      <c r="A152" s="431" t="s">
        <v>433</v>
      </c>
      <c r="B152" s="588" t="s">
        <v>37</v>
      </c>
      <c r="C152" s="488">
        <v>51920</v>
      </c>
      <c r="D152" s="488"/>
      <c r="E152" s="488">
        <f t="shared" si="82"/>
        <v>52904</v>
      </c>
      <c r="F152" s="462">
        <f t="shared" si="80"/>
        <v>0</v>
      </c>
      <c r="G152" s="546"/>
      <c r="H152" s="462"/>
      <c r="I152" s="462"/>
      <c r="J152" s="462"/>
      <c r="K152" s="462"/>
      <c r="L152" s="462"/>
      <c r="M152" s="462">
        <f>SUM(N152:R152)</f>
        <v>52904</v>
      </c>
      <c r="N152" s="546">
        <v>51420</v>
      </c>
      <c r="O152" s="462"/>
      <c r="P152" s="462"/>
      <c r="Q152" s="462"/>
      <c r="R152" s="462">
        <v>1484</v>
      </c>
      <c r="S152" s="549"/>
      <c r="T152" s="549">
        <f t="shared" si="122"/>
        <v>0</v>
      </c>
      <c r="U152" s="549">
        <f t="shared" si="127"/>
        <v>0</v>
      </c>
      <c r="V152" s="549"/>
      <c r="W152" s="549">
        <f t="shared" si="123"/>
        <v>0</v>
      </c>
      <c r="X152" s="546">
        <f t="shared" si="124"/>
        <v>0</v>
      </c>
    </row>
    <row r="153" spans="1:26">
      <c r="A153" s="431" t="s">
        <v>433</v>
      </c>
      <c r="B153" s="436" t="s">
        <v>437</v>
      </c>
      <c r="C153" s="488">
        <v>45300</v>
      </c>
      <c r="D153" s="488"/>
      <c r="E153" s="488">
        <f t="shared" si="82"/>
        <v>55545</v>
      </c>
      <c r="F153" s="462">
        <f t="shared" si="80"/>
        <v>39545</v>
      </c>
      <c r="G153" s="546">
        <f>2086+7+822+7-2412+38585+50+400</f>
        <v>39545</v>
      </c>
      <c r="H153" s="462"/>
      <c r="I153" s="462"/>
      <c r="J153" s="462"/>
      <c r="K153" s="462"/>
      <c r="L153" s="462"/>
      <c r="M153" s="462">
        <f t="shared" si="81"/>
        <v>16000</v>
      </c>
      <c r="N153" s="546">
        <v>16000</v>
      </c>
      <c r="O153" s="462"/>
      <c r="P153" s="462"/>
      <c r="Q153" s="462"/>
      <c r="R153" s="462"/>
      <c r="S153" s="549"/>
      <c r="T153" s="549">
        <f t="shared" si="122"/>
        <v>0</v>
      </c>
      <c r="U153" s="549">
        <f t="shared" si="127"/>
        <v>0</v>
      </c>
      <c r="V153" s="549"/>
      <c r="W153" s="549">
        <f t="shared" si="123"/>
        <v>0</v>
      </c>
      <c r="X153" s="546">
        <f t="shared" si="124"/>
        <v>0</v>
      </c>
    </row>
    <row r="154" spans="1:26">
      <c r="A154" s="431" t="s">
        <v>433</v>
      </c>
      <c r="B154" s="436" t="s">
        <v>446</v>
      </c>
      <c r="C154" s="488">
        <v>1690</v>
      </c>
      <c r="D154" s="488"/>
      <c r="E154" s="488">
        <f t="shared" si="82"/>
        <v>2690</v>
      </c>
      <c r="F154" s="462">
        <f t="shared" si="80"/>
        <v>2690</v>
      </c>
      <c r="G154" s="546"/>
      <c r="H154" s="462"/>
      <c r="I154" s="462"/>
      <c r="J154" s="462"/>
      <c r="K154" s="462"/>
      <c r="L154" s="462">
        <f>1690+1000</f>
        <v>2690</v>
      </c>
      <c r="M154" s="462">
        <f t="shared" si="81"/>
        <v>0</v>
      </c>
      <c r="N154" s="546"/>
      <c r="O154" s="462"/>
      <c r="P154" s="462"/>
      <c r="Q154" s="462"/>
      <c r="R154" s="462"/>
      <c r="S154" s="549"/>
      <c r="T154" s="549">
        <f t="shared" si="122"/>
        <v>0</v>
      </c>
      <c r="U154" s="549">
        <f t="shared" si="127"/>
        <v>0</v>
      </c>
      <c r="V154" s="549"/>
      <c r="W154" s="549">
        <f t="shared" si="123"/>
        <v>0</v>
      </c>
      <c r="X154" s="546">
        <f t="shared" si="124"/>
        <v>0</v>
      </c>
    </row>
    <row r="155" spans="1:26">
      <c r="A155" s="431" t="s">
        <v>433</v>
      </c>
      <c r="B155" s="436" t="s">
        <v>402</v>
      </c>
      <c r="C155" s="488">
        <v>61396</v>
      </c>
      <c r="D155" s="488"/>
      <c r="E155" s="488">
        <f t="shared" si="82"/>
        <v>60389</v>
      </c>
      <c r="F155" s="462">
        <f t="shared" si="80"/>
        <v>60389</v>
      </c>
      <c r="G155" s="546"/>
      <c r="H155" s="462"/>
      <c r="I155" s="462"/>
      <c r="J155" s="462"/>
      <c r="K155" s="462"/>
      <c r="L155" s="462">
        <f>55096+6300-7-1000</f>
        <v>60389</v>
      </c>
      <c r="M155" s="462">
        <f t="shared" si="81"/>
        <v>0</v>
      </c>
      <c r="N155" s="546"/>
      <c r="O155" s="462"/>
      <c r="P155" s="462"/>
      <c r="Q155" s="462"/>
      <c r="R155" s="462"/>
      <c r="S155" s="549"/>
      <c r="T155" s="549">
        <f t="shared" si="122"/>
        <v>0</v>
      </c>
      <c r="U155" s="549">
        <f t="shared" si="127"/>
        <v>0</v>
      </c>
      <c r="V155" s="549"/>
      <c r="W155" s="549">
        <f t="shared" si="123"/>
        <v>0</v>
      </c>
      <c r="X155" s="546">
        <f t="shared" si="124"/>
        <v>0</v>
      </c>
    </row>
    <row r="156" spans="1:26" s="685" customFormat="1">
      <c r="A156" s="681">
        <v>12</v>
      </c>
      <c r="B156" s="682" t="s">
        <v>395</v>
      </c>
      <c r="C156" s="683">
        <f>SUM(C157:C167)</f>
        <v>2092707</v>
      </c>
      <c r="D156" s="683">
        <f>E156-C156-E159-E160-E161-E162</f>
        <v>-63823</v>
      </c>
      <c r="E156" s="683">
        <f>F156+M156</f>
        <v>2150852</v>
      </c>
      <c r="F156" s="683">
        <f>SUM(G156:L156)</f>
        <v>650667</v>
      </c>
      <c r="G156" s="683">
        <f>SUM(G157:G167)</f>
        <v>420536</v>
      </c>
      <c r="H156" s="683">
        <f t="shared" ref="H156" si="135">SUM(H157:H167)</f>
        <v>0</v>
      </c>
      <c r="I156" s="683">
        <f t="shared" ref="I156" si="136">SUM(I157:I167)</f>
        <v>0</v>
      </c>
      <c r="J156" s="683">
        <f t="shared" ref="J156" si="137">SUM(J157:J167)</f>
        <v>14432</v>
      </c>
      <c r="K156" s="683">
        <f t="shared" ref="K156" si="138">SUM(K157:K167)</f>
        <v>0</v>
      </c>
      <c r="L156" s="683">
        <f>SUM(L157:L167)</f>
        <v>215699</v>
      </c>
      <c r="M156" s="683">
        <f>SUM(N156:R156)</f>
        <v>1500185</v>
      </c>
      <c r="N156" s="683">
        <f>SUM(N157:N167)</f>
        <v>1450721</v>
      </c>
      <c r="O156" s="683">
        <f t="shared" ref="O156" si="139">SUM(O157:O167)</f>
        <v>0</v>
      </c>
      <c r="P156" s="683">
        <f t="shared" ref="P156" si="140">SUM(P157:P167)</f>
        <v>36322</v>
      </c>
      <c r="Q156" s="683">
        <f>SUM(Q157:Q167)</f>
        <v>0</v>
      </c>
      <c r="R156" s="683">
        <f>SUM(R157:R167)</f>
        <v>13142</v>
      </c>
      <c r="S156" s="683"/>
      <c r="T156" s="683">
        <f t="shared" si="122"/>
        <v>0</v>
      </c>
      <c r="U156" s="683">
        <f t="shared" si="127"/>
        <v>0</v>
      </c>
      <c r="V156" s="683">
        <f>SUM(V157:V167)</f>
        <v>108826</v>
      </c>
      <c r="W156" s="683">
        <f t="shared" si="123"/>
        <v>50754</v>
      </c>
      <c r="X156" s="684">
        <f t="shared" si="124"/>
        <v>58072</v>
      </c>
    </row>
    <row r="157" spans="1:26">
      <c r="A157" s="431" t="s">
        <v>433</v>
      </c>
      <c r="B157" s="436" t="s">
        <v>37</v>
      </c>
      <c r="C157" s="488">
        <v>1829845</v>
      </c>
      <c r="D157" s="488">
        <v>63823</v>
      </c>
      <c r="E157" s="488">
        <f t="shared" si="82"/>
        <v>1719260</v>
      </c>
      <c r="F157" s="462">
        <f t="shared" si="80"/>
        <v>287692</v>
      </c>
      <c r="G157" s="546">
        <f>206177+76980+1905+980+1650</f>
        <v>287692</v>
      </c>
      <c r="H157" s="462"/>
      <c r="I157" s="462"/>
      <c r="J157" s="462"/>
      <c r="K157" s="462"/>
      <c r="L157" s="462"/>
      <c r="M157" s="462">
        <f t="shared" si="81"/>
        <v>1431568</v>
      </c>
      <c r="N157" s="546">
        <f>1495391-27501-36322</f>
        <v>1431568</v>
      </c>
      <c r="O157" s="462"/>
      <c r="P157" s="462"/>
      <c r="Q157" s="462"/>
      <c r="R157" s="462"/>
      <c r="S157" s="549"/>
      <c r="T157" s="549"/>
      <c r="U157" s="549"/>
      <c r="V157" s="549"/>
      <c r="W157" s="549">
        <f t="shared" si="123"/>
        <v>0</v>
      </c>
      <c r="X157" s="546">
        <f t="shared" si="124"/>
        <v>0</v>
      </c>
    </row>
    <row r="158" spans="1:26">
      <c r="A158" s="431" t="s">
        <v>433</v>
      </c>
      <c r="B158" s="436" t="s">
        <v>437</v>
      </c>
      <c r="C158" s="488">
        <v>101662</v>
      </c>
      <c r="D158" s="488"/>
      <c r="E158" s="488">
        <f t="shared" si="82"/>
        <v>151997</v>
      </c>
      <c r="F158" s="462">
        <f t="shared" si="80"/>
        <v>132844</v>
      </c>
      <c r="G158" s="546">
        <f>110284+22560</f>
        <v>132844</v>
      </c>
      <c r="H158" s="462"/>
      <c r="I158" s="462"/>
      <c r="J158" s="462"/>
      <c r="K158" s="462"/>
      <c r="L158" s="462"/>
      <c r="M158" s="462">
        <f t="shared" si="81"/>
        <v>19153</v>
      </c>
      <c r="N158" s="546">
        <f>19512-19512+16558+3593-998</f>
        <v>19153</v>
      </c>
      <c r="O158" s="462"/>
      <c r="P158" s="462"/>
      <c r="Q158" s="462"/>
      <c r="R158" s="462"/>
      <c r="S158" s="549"/>
      <c r="T158" s="549"/>
      <c r="U158" s="549"/>
      <c r="V158" s="549"/>
      <c r="W158" s="549">
        <f t="shared" si="123"/>
        <v>0</v>
      </c>
      <c r="X158" s="546">
        <f t="shared" si="124"/>
        <v>0</v>
      </c>
    </row>
    <row r="159" spans="1:26">
      <c r="A159" s="431" t="s">
        <v>470</v>
      </c>
      <c r="B159" s="436" t="s">
        <v>499</v>
      </c>
      <c r="C159" s="488"/>
      <c r="D159" s="488"/>
      <c r="E159" s="488">
        <f>F159+M159</f>
        <v>0</v>
      </c>
      <c r="F159" s="462">
        <f t="shared" si="80"/>
        <v>0</v>
      </c>
      <c r="G159" s="546"/>
      <c r="H159" s="462"/>
      <c r="I159" s="462"/>
      <c r="J159" s="462"/>
      <c r="K159" s="462"/>
      <c r="L159" s="462"/>
      <c r="M159" s="462">
        <f t="shared" si="81"/>
        <v>0</v>
      </c>
      <c r="N159" s="546"/>
      <c r="O159" s="462"/>
      <c r="P159" s="462"/>
      <c r="Q159" s="462"/>
      <c r="R159" s="462"/>
      <c r="S159" s="549"/>
      <c r="T159" s="549"/>
      <c r="U159" s="549"/>
      <c r="V159" s="549"/>
      <c r="W159" s="549">
        <f t="shared" si="123"/>
        <v>0</v>
      </c>
      <c r="X159" s="546">
        <f t="shared" si="124"/>
        <v>0</v>
      </c>
    </row>
    <row r="160" spans="1:26">
      <c r="A160" s="431"/>
      <c r="B160" s="436" t="s">
        <v>511</v>
      </c>
      <c r="C160" s="488"/>
      <c r="D160" s="488"/>
      <c r="E160" s="488">
        <f>F160+M160</f>
        <v>13142</v>
      </c>
      <c r="F160" s="462">
        <f t="shared" si="80"/>
        <v>0</v>
      </c>
      <c r="G160" s="546"/>
      <c r="H160" s="462"/>
      <c r="I160" s="462"/>
      <c r="J160" s="462"/>
      <c r="K160" s="462"/>
      <c r="L160" s="462"/>
      <c r="M160" s="462">
        <f t="shared" si="81"/>
        <v>13142</v>
      </c>
      <c r="N160" s="546"/>
      <c r="O160" s="462"/>
      <c r="P160" s="462"/>
      <c r="Q160" s="462"/>
      <c r="R160" s="462">
        <f>13142</f>
        <v>13142</v>
      </c>
      <c r="S160" s="549"/>
      <c r="T160" s="549"/>
      <c r="U160" s="549"/>
      <c r="V160" s="549"/>
      <c r="W160" s="549">
        <f t="shared" si="123"/>
        <v>0</v>
      </c>
      <c r="X160" s="546">
        <f t="shared" si="124"/>
        <v>0</v>
      </c>
    </row>
    <row r="161" spans="1:26" s="579" customFormat="1">
      <c r="A161" s="587"/>
      <c r="B161" s="588" t="s">
        <v>463</v>
      </c>
      <c r="C161" s="546"/>
      <c r="D161" s="546"/>
      <c r="E161" s="546">
        <f t="shared" ref="E161:E162" si="141">F161+M161</f>
        <v>6746</v>
      </c>
      <c r="F161" s="546">
        <f t="shared" si="80"/>
        <v>6746</v>
      </c>
      <c r="G161" s="546"/>
      <c r="H161" s="546"/>
      <c r="I161" s="546"/>
      <c r="J161" s="546">
        <v>4766</v>
      </c>
      <c r="K161" s="546"/>
      <c r="L161" s="546">
        <f>X161</f>
        <v>1980</v>
      </c>
      <c r="M161" s="546">
        <f t="shared" si="81"/>
        <v>0</v>
      </c>
      <c r="N161" s="546"/>
      <c r="O161" s="546"/>
      <c r="P161" s="546"/>
      <c r="Q161" s="546"/>
      <c r="R161" s="546"/>
      <c r="S161" s="549"/>
      <c r="T161" s="549">
        <f t="shared" si="122"/>
        <v>0</v>
      </c>
      <c r="U161" s="549">
        <f t="shared" si="126"/>
        <v>0</v>
      </c>
      <c r="V161" s="549">
        <f>6746</f>
        <v>6746</v>
      </c>
      <c r="W161" s="549">
        <f t="shared" si="123"/>
        <v>4766</v>
      </c>
      <c r="X161" s="546">
        <f t="shared" si="124"/>
        <v>1980</v>
      </c>
    </row>
    <row r="162" spans="1:26" s="651" customFormat="1" ht="31.5">
      <c r="A162" s="645"/>
      <c r="B162" s="646" t="s">
        <v>657</v>
      </c>
      <c r="C162" s="647"/>
      <c r="D162" s="647"/>
      <c r="E162" s="647">
        <f t="shared" si="141"/>
        <v>102080</v>
      </c>
      <c r="F162" s="648">
        <f t="shared" si="80"/>
        <v>65758</v>
      </c>
      <c r="G162" s="649"/>
      <c r="H162" s="648"/>
      <c r="I162" s="648"/>
      <c r="J162" s="648">
        <v>9666</v>
      </c>
      <c r="K162" s="648"/>
      <c r="L162" s="648">
        <f>V162-M162-J162</f>
        <v>56092</v>
      </c>
      <c r="M162" s="648">
        <f t="shared" si="81"/>
        <v>36322</v>
      </c>
      <c r="N162" s="649"/>
      <c r="O162" s="648"/>
      <c r="P162" s="648">
        <v>36322</v>
      </c>
      <c r="Q162" s="648"/>
      <c r="R162" s="648"/>
      <c r="S162" s="650"/>
      <c r="T162" s="650">
        <f t="shared" si="122"/>
        <v>0</v>
      </c>
      <c r="U162" s="650">
        <f t="shared" si="126"/>
        <v>0</v>
      </c>
      <c r="V162" s="650">
        <f>20000+10000+2500+3000+1000+1320+11908+70272-50000+32080</f>
        <v>102080</v>
      </c>
      <c r="W162" s="650">
        <f t="shared" si="123"/>
        <v>45988</v>
      </c>
      <c r="X162" s="649">
        <f t="shared" si="124"/>
        <v>56092</v>
      </c>
      <c r="Z162" s="651">
        <v>120000</v>
      </c>
    </row>
    <row r="163" spans="1:26">
      <c r="A163" s="431" t="s">
        <v>433</v>
      </c>
      <c r="B163" s="436" t="s">
        <v>446</v>
      </c>
      <c r="C163" s="488">
        <v>7799</v>
      </c>
      <c r="D163" s="488"/>
      <c r="E163" s="488">
        <f t="shared" si="82"/>
        <v>15229</v>
      </c>
      <c r="F163" s="462">
        <f t="shared" si="80"/>
        <v>15229</v>
      </c>
      <c r="G163" s="546"/>
      <c r="H163" s="462"/>
      <c r="I163" s="462"/>
      <c r="J163" s="462"/>
      <c r="K163" s="462"/>
      <c r="L163" s="462">
        <f>8229+7000</f>
        <v>15229</v>
      </c>
      <c r="M163" s="462">
        <f t="shared" si="81"/>
        <v>0</v>
      </c>
      <c r="N163" s="546"/>
      <c r="O163" s="462"/>
      <c r="P163" s="462"/>
      <c r="Q163" s="462"/>
      <c r="R163" s="462"/>
      <c r="S163" s="549"/>
      <c r="T163" s="549">
        <f t="shared" si="122"/>
        <v>0</v>
      </c>
      <c r="U163" s="549">
        <f>S163-T163</f>
        <v>0</v>
      </c>
      <c r="V163" s="549"/>
      <c r="W163" s="549">
        <f t="shared" si="123"/>
        <v>0</v>
      </c>
      <c r="X163" s="546">
        <f t="shared" si="124"/>
        <v>0</v>
      </c>
    </row>
    <row r="164" spans="1:26">
      <c r="A164" s="431" t="s">
        <v>433</v>
      </c>
      <c r="B164" s="436" t="s">
        <v>668</v>
      </c>
      <c r="C164" s="488">
        <v>67000</v>
      </c>
      <c r="D164" s="488"/>
      <c r="E164" s="488">
        <f t="shared" si="82"/>
        <v>67000</v>
      </c>
      <c r="F164" s="462">
        <f t="shared" si="80"/>
        <v>67000</v>
      </c>
      <c r="G164" s="546"/>
      <c r="H164" s="462"/>
      <c r="I164" s="462"/>
      <c r="J164" s="462"/>
      <c r="K164" s="462"/>
      <c r="L164" s="462">
        <f>67000</f>
        <v>67000</v>
      </c>
      <c r="M164" s="462">
        <f t="shared" si="81"/>
        <v>0</v>
      </c>
      <c r="N164" s="546"/>
      <c r="O164" s="462"/>
      <c r="P164" s="462"/>
      <c r="Q164" s="462"/>
      <c r="R164" s="462"/>
      <c r="S164" s="549"/>
      <c r="T164" s="549"/>
      <c r="U164" s="549"/>
      <c r="V164" s="549"/>
      <c r="W164" s="549">
        <f t="shared" si="123"/>
        <v>0</v>
      </c>
      <c r="X164" s="546">
        <f t="shared" si="124"/>
        <v>0</v>
      </c>
    </row>
    <row r="165" spans="1:26">
      <c r="A165" s="431" t="s">
        <v>433</v>
      </c>
      <c r="B165" s="436" t="s">
        <v>465</v>
      </c>
      <c r="C165" s="488">
        <v>21870</v>
      </c>
      <c r="D165" s="488"/>
      <c r="E165" s="488">
        <f t="shared" si="82"/>
        <v>0</v>
      </c>
      <c r="F165" s="462">
        <f t="shared" si="80"/>
        <v>0</v>
      </c>
      <c r="G165" s="546"/>
      <c r="H165" s="462"/>
      <c r="I165" s="462"/>
      <c r="J165" s="462"/>
      <c r="K165" s="462"/>
      <c r="L165" s="462"/>
      <c r="M165" s="462">
        <f t="shared" si="81"/>
        <v>0</v>
      </c>
      <c r="N165" s="546"/>
      <c r="O165" s="462"/>
      <c r="P165" s="462"/>
      <c r="Q165" s="462"/>
      <c r="R165" s="462"/>
      <c r="S165" s="549"/>
      <c r="T165" s="549">
        <f t="shared" si="122"/>
        <v>0</v>
      </c>
      <c r="U165" s="549">
        <f>S165-T165</f>
        <v>0</v>
      </c>
      <c r="V165" s="549"/>
      <c r="W165" s="549">
        <f t="shared" si="123"/>
        <v>0</v>
      </c>
      <c r="X165" s="546">
        <f t="shared" si="124"/>
        <v>0</v>
      </c>
    </row>
    <row r="166" spans="1:26" ht="31.5">
      <c r="A166" s="431" t="s">
        <v>433</v>
      </c>
      <c r="B166" s="436" t="s">
        <v>458</v>
      </c>
      <c r="C166" s="488">
        <v>9000</v>
      </c>
      <c r="D166" s="488"/>
      <c r="E166" s="546">
        <f t="shared" si="82"/>
        <v>9000</v>
      </c>
      <c r="F166" s="462">
        <f t="shared" si="80"/>
        <v>9000</v>
      </c>
      <c r="G166" s="546"/>
      <c r="H166" s="462"/>
      <c r="I166" s="462"/>
      <c r="J166" s="462"/>
      <c r="K166" s="462"/>
      <c r="L166" s="462">
        <v>9000</v>
      </c>
      <c r="M166" s="462">
        <f t="shared" si="81"/>
        <v>0</v>
      </c>
      <c r="N166" s="546"/>
      <c r="O166" s="462"/>
      <c r="P166" s="462"/>
      <c r="Q166" s="462"/>
      <c r="R166" s="462"/>
      <c r="S166" s="549"/>
      <c r="T166" s="549"/>
      <c r="U166" s="549"/>
      <c r="V166" s="549"/>
      <c r="W166" s="549">
        <f t="shared" si="123"/>
        <v>0</v>
      </c>
      <c r="X166" s="546">
        <f t="shared" si="124"/>
        <v>0</v>
      </c>
    </row>
    <row r="167" spans="1:26">
      <c r="A167" s="431" t="s">
        <v>433</v>
      </c>
      <c r="B167" s="436" t="s">
        <v>402</v>
      </c>
      <c r="C167" s="488">
        <v>55531</v>
      </c>
      <c r="D167" s="488"/>
      <c r="E167" s="488">
        <f t="shared" si="82"/>
        <v>66398</v>
      </c>
      <c r="F167" s="462">
        <f t="shared" si="80"/>
        <v>66398</v>
      </c>
      <c r="G167" s="546"/>
      <c r="H167" s="462"/>
      <c r="I167" s="462"/>
      <c r="J167" s="462"/>
      <c r="K167" s="462"/>
      <c r="L167" s="462">
        <f>53673-3414+231-179+15650+998-561</f>
        <v>66398</v>
      </c>
      <c r="M167" s="462">
        <f t="shared" si="81"/>
        <v>0</v>
      </c>
      <c r="N167" s="546"/>
      <c r="O167" s="462"/>
      <c r="P167" s="462"/>
      <c r="Q167" s="462"/>
      <c r="R167" s="462"/>
      <c r="S167" s="549"/>
      <c r="T167" s="549">
        <f t="shared" si="122"/>
        <v>0</v>
      </c>
      <c r="U167" s="549">
        <f t="shared" ref="U167:U176" si="142">S167-T167</f>
        <v>0</v>
      </c>
      <c r="V167" s="549"/>
      <c r="W167" s="549">
        <f t="shared" si="123"/>
        <v>0</v>
      </c>
      <c r="X167" s="546">
        <f t="shared" si="124"/>
        <v>0</v>
      </c>
    </row>
    <row r="168" spans="1:26" s="434" customFormat="1">
      <c r="A168" s="568">
        <v>13</v>
      </c>
      <c r="B168" s="433" t="s">
        <v>396</v>
      </c>
      <c r="C168" s="489"/>
      <c r="D168" s="489"/>
      <c r="E168" s="488">
        <f t="shared" si="82"/>
        <v>0</v>
      </c>
      <c r="F168" s="495">
        <f t="shared" si="80"/>
        <v>0</v>
      </c>
      <c r="G168" s="549"/>
      <c r="H168" s="495"/>
      <c r="I168" s="495"/>
      <c r="J168" s="495"/>
      <c r="K168" s="495"/>
      <c r="L168" s="495"/>
      <c r="M168" s="495">
        <f t="shared" si="81"/>
        <v>0</v>
      </c>
      <c r="N168" s="549"/>
      <c r="O168" s="495"/>
      <c r="P168" s="495"/>
      <c r="Q168" s="495"/>
      <c r="R168" s="495"/>
      <c r="S168" s="549"/>
      <c r="T168" s="549">
        <f t="shared" si="122"/>
        <v>0</v>
      </c>
      <c r="U168" s="549">
        <f t="shared" si="142"/>
        <v>0</v>
      </c>
      <c r="V168" s="549"/>
      <c r="W168" s="549">
        <f t="shared" si="123"/>
        <v>0</v>
      </c>
      <c r="X168" s="546">
        <f t="shared" si="124"/>
        <v>0</v>
      </c>
    </row>
    <row r="169" spans="1:26" s="434" customFormat="1">
      <c r="A169" s="568">
        <v>14</v>
      </c>
      <c r="B169" s="433" t="s">
        <v>397</v>
      </c>
      <c r="C169" s="489">
        <f>SUM(C170:C173)</f>
        <v>63456</v>
      </c>
      <c r="D169" s="489"/>
      <c r="E169" s="489">
        <f t="shared" si="82"/>
        <v>63902</v>
      </c>
      <c r="F169" s="489">
        <f t="shared" si="80"/>
        <v>40668</v>
      </c>
      <c r="G169" s="549">
        <f t="shared" ref="G169:R169" si="143">SUM(G170:G173)</f>
        <v>16839</v>
      </c>
      <c r="H169" s="489">
        <f t="shared" ref="H169" si="144">SUM(H170:H173)</f>
        <v>0</v>
      </c>
      <c r="I169" s="489">
        <f t="shared" ref="I169" si="145">SUM(I170:I173)</f>
        <v>0</v>
      </c>
      <c r="J169" s="489">
        <f t="shared" ref="J169" si="146">SUM(J170:J173)</f>
        <v>0</v>
      </c>
      <c r="K169" s="489">
        <f t="shared" ref="K169" si="147">SUM(K170:K173)</f>
        <v>0</v>
      </c>
      <c r="L169" s="489">
        <f t="shared" si="143"/>
        <v>23829</v>
      </c>
      <c r="M169" s="489">
        <f t="shared" si="81"/>
        <v>23234</v>
      </c>
      <c r="N169" s="549">
        <f t="shared" si="143"/>
        <v>23234</v>
      </c>
      <c r="O169" s="489">
        <f t="shared" ref="O169" si="148">SUM(O170:O173)</f>
        <v>0</v>
      </c>
      <c r="P169" s="489">
        <f t="shared" ref="P169" si="149">SUM(P170:P173)</f>
        <v>0</v>
      </c>
      <c r="Q169" s="489">
        <f t="shared" si="143"/>
        <v>0</v>
      </c>
      <c r="R169" s="489">
        <f t="shared" si="143"/>
        <v>0</v>
      </c>
      <c r="S169" s="549"/>
      <c r="T169" s="549">
        <f t="shared" si="122"/>
        <v>0</v>
      </c>
      <c r="U169" s="549">
        <f t="shared" si="142"/>
        <v>0</v>
      </c>
      <c r="V169" s="549">
        <f>SUM(V170:V173)</f>
        <v>0</v>
      </c>
      <c r="W169" s="549">
        <f t="shared" si="123"/>
        <v>0</v>
      </c>
      <c r="X169" s="546">
        <f t="shared" si="124"/>
        <v>0</v>
      </c>
    </row>
    <row r="170" spans="1:26">
      <c r="A170" s="431" t="s">
        <v>433</v>
      </c>
      <c r="B170" s="436" t="s">
        <v>37</v>
      </c>
      <c r="C170" s="488">
        <v>32649</v>
      </c>
      <c r="D170" s="488"/>
      <c r="E170" s="488">
        <f t="shared" si="82"/>
        <v>40073</v>
      </c>
      <c r="F170" s="462">
        <f t="shared" si="80"/>
        <v>16839</v>
      </c>
      <c r="G170" s="546">
        <v>16839</v>
      </c>
      <c r="H170" s="462"/>
      <c r="I170" s="462"/>
      <c r="J170" s="462"/>
      <c r="K170" s="462"/>
      <c r="L170" s="462"/>
      <c r="M170" s="462">
        <f t="shared" si="81"/>
        <v>23234</v>
      </c>
      <c r="N170" s="546">
        <v>23234</v>
      </c>
      <c r="O170" s="462"/>
      <c r="P170" s="462"/>
      <c r="Q170" s="462"/>
      <c r="R170" s="462"/>
      <c r="S170" s="549"/>
      <c r="T170" s="549">
        <f t="shared" si="122"/>
        <v>0</v>
      </c>
      <c r="U170" s="549">
        <f t="shared" si="142"/>
        <v>0</v>
      </c>
      <c r="V170" s="549"/>
      <c r="W170" s="549">
        <f t="shared" si="123"/>
        <v>0</v>
      </c>
      <c r="X170" s="546">
        <f t="shared" si="124"/>
        <v>0</v>
      </c>
    </row>
    <row r="171" spans="1:26">
      <c r="A171" s="431" t="s">
        <v>433</v>
      </c>
      <c r="B171" s="436" t="s">
        <v>437</v>
      </c>
      <c r="C171" s="488">
        <v>6350</v>
      </c>
      <c r="D171" s="488"/>
      <c r="E171" s="488">
        <f t="shared" si="82"/>
        <v>0</v>
      </c>
      <c r="F171" s="462">
        <f t="shared" si="80"/>
        <v>0</v>
      </c>
      <c r="G171" s="546"/>
      <c r="H171" s="462"/>
      <c r="I171" s="462"/>
      <c r="J171" s="462"/>
      <c r="K171" s="462"/>
      <c r="L171" s="462"/>
      <c r="M171" s="462">
        <f t="shared" si="81"/>
        <v>0</v>
      </c>
      <c r="N171" s="546"/>
      <c r="O171" s="462"/>
      <c r="P171" s="462"/>
      <c r="Q171" s="462"/>
      <c r="R171" s="462"/>
      <c r="S171" s="549"/>
      <c r="T171" s="549">
        <f t="shared" si="122"/>
        <v>0</v>
      </c>
      <c r="U171" s="549">
        <f t="shared" si="142"/>
        <v>0</v>
      </c>
      <c r="V171" s="549"/>
      <c r="W171" s="549">
        <f t="shared" si="123"/>
        <v>0</v>
      </c>
      <c r="X171" s="546">
        <f t="shared" si="124"/>
        <v>0</v>
      </c>
    </row>
    <row r="172" spans="1:26">
      <c r="A172" s="431" t="s">
        <v>433</v>
      </c>
      <c r="B172" s="436" t="s">
        <v>446</v>
      </c>
      <c r="C172" s="488">
        <v>822</v>
      </c>
      <c r="D172" s="488"/>
      <c r="E172" s="488">
        <f t="shared" si="82"/>
        <v>822</v>
      </c>
      <c r="F172" s="462">
        <f t="shared" ref="F172:F215" si="150">SUM(G172:L172)</f>
        <v>822</v>
      </c>
      <c r="G172" s="546"/>
      <c r="H172" s="462"/>
      <c r="I172" s="462"/>
      <c r="J172" s="462"/>
      <c r="K172" s="462"/>
      <c r="L172" s="462">
        <v>822</v>
      </c>
      <c r="M172" s="462">
        <f t="shared" ref="M172:M215" si="151">SUM(N172:R172)</f>
        <v>0</v>
      </c>
      <c r="N172" s="546"/>
      <c r="O172" s="462"/>
      <c r="P172" s="462"/>
      <c r="Q172" s="462"/>
      <c r="R172" s="462"/>
      <c r="S172" s="549"/>
      <c r="T172" s="549">
        <f t="shared" si="122"/>
        <v>0</v>
      </c>
      <c r="U172" s="549">
        <f t="shared" si="142"/>
        <v>0</v>
      </c>
      <c r="V172" s="549"/>
      <c r="W172" s="549">
        <f t="shared" si="123"/>
        <v>0</v>
      </c>
      <c r="X172" s="546">
        <f t="shared" si="124"/>
        <v>0</v>
      </c>
    </row>
    <row r="173" spans="1:26">
      <c r="A173" s="431" t="s">
        <v>433</v>
      </c>
      <c r="B173" s="436" t="s">
        <v>402</v>
      </c>
      <c r="C173" s="488">
        <v>23635</v>
      </c>
      <c r="D173" s="488"/>
      <c r="E173" s="488">
        <f t="shared" ref="E173:E215" si="152">F173+M173</f>
        <v>23007</v>
      </c>
      <c r="F173" s="462">
        <f t="shared" si="150"/>
        <v>23007</v>
      </c>
      <c r="G173" s="546"/>
      <c r="H173" s="462"/>
      <c r="I173" s="462"/>
      <c r="J173" s="462"/>
      <c r="K173" s="462"/>
      <c r="L173" s="462">
        <f>23635-150-78-400</f>
        <v>23007</v>
      </c>
      <c r="M173" s="462">
        <f t="shared" si="151"/>
        <v>0</v>
      </c>
      <c r="N173" s="546"/>
      <c r="O173" s="462"/>
      <c r="P173" s="462"/>
      <c r="Q173" s="462"/>
      <c r="R173" s="462"/>
      <c r="S173" s="549"/>
      <c r="T173" s="549">
        <f t="shared" si="122"/>
        <v>0</v>
      </c>
      <c r="U173" s="549">
        <f t="shared" si="142"/>
        <v>0</v>
      </c>
      <c r="V173" s="549"/>
      <c r="W173" s="549">
        <f t="shared" si="123"/>
        <v>0</v>
      </c>
      <c r="X173" s="546">
        <f t="shared" si="124"/>
        <v>0</v>
      </c>
    </row>
    <row r="174" spans="1:26" s="695" customFormat="1" ht="31.5">
      <c r="A174" s="692">
        <v>15</v>
      </c>
      <c r="B174" s="642" t="s">
        <v>671</v>
      </c>
      <c r="C174" s="693"/>
      <c r="D174" s="693"/>
      <c r="E174" s="693">
        <f t="shared" ref="E174" si="153">F174+M174</f>
        <v>39449</v>
      </c>
      <c r="F174" s="694">
        <f t="shared" ref="F174" si="154">SUM(G174:L174)</f>
        <v>0</v>
      </c>
      <c r="G174" s="650"/>
      <c r="H174" s="694"/>
      <c r="I174" s="694"/>
      <c r="J174" s="694"/>
      <c r="K174" s="694"/>
      <c r="L174" s="694"/>
      <c r="M174" s="694">
        <f t="shared" ref="M174" si="155">SUM(N174:R174)</f>
        <v>39449</v>
      </c>
      <c r="N174" s="650"/>
      <c r="O174" s="694"/>
      <c r="P174" s="694"/>
      <c r="Q174" s="694"/>
      <c r="R174" s="694">
        <v>39449</v>
      </c>
      <c r="S174" s="650"/>
      <c r="T174" s="650">
        <f t="shared" ref="T174" si="156">I174+O174</f>
        <v>0</v>
      </c>
      <c r="U174" s="650">
        <f t="shared" ref="U174" si="157">S174-T174</f>
        <v>0</v>
      </c>
      <c r="V174" s="650"/>
      <c r="W174" s="650">
        <f t="shared" ref="W174" si="158">J174+P174</f>
        <v>0</v>
      </c>
      <c r="X174" s="650">
        <f t="shared" ref="X174" si="159">V174-W174</f>
        <v>0</v>
      </c>
    </row>
    <row r="175" spans="1:26" s="434" customFormat="1">
      <c r="A175" s="568" t="s">
        <v>196</v>
      </c>
      <c r="B175" s="433" t="s">
        <v>398</v>
      </c>
      <c r="C175" s="489">
        <v>507965</v>
      </c>
      <c r="D175" s="489"/>
      <c r="E175" s="489">
        <f t="shared" si="152"/>
        <v>512325</v>
      </c>
      <c r="F175" s="495">
        <f t="shared" si="150"/>
        <v>406081</v>
      </c>
      <c r="G175" s="549"/>
      <c r="H175" s="495"/>
      <c r="I175" s="495"/>
      <c r="J175" s="495"/>
      <c r="K175" s="495"/>
      <c r="L175" s="495">
        <f>273885+138452-166-6+51+1154+3430+389-42+400-1-11000-1+203-1249+582</f>
        <v>406081</v>
      </c>
      <c r="M175" s="495">
        <f t="shared" si="151"/>
        <v>106244</v>
      </c>
      <c r="N175" s="549">
        <v>101884</v>
      </c>
      <c r="O175" s="495"/>
      <c r="P175" s="495"/>
      <c r="Q175" s="495"/>
      <c r="R175" s="495">
        <v>4360</v>
      </c>
      <c r="S175" s="549"/>
      <c r="T175" s="549">
        <f t="shared" si="122"/>
        <v>0</v>
      </c>
      <c r="U175" s="549">
        <f t="shared" si="142"/>
        <v>0</v>
      </c>
      <c r="V175" s="549"/>
      <c r="W175" s="549">
        <f t="shared" si="123"/>
        <v>0</v>
      </c>
      <c r="X175" s="546">
        <f t="shared" si="124"/>
        <v>0</v>
      </c>
    </row>
    <row r="176" spans="1:26" s="434" customFormat="1">
      <c r="A176" s="568" t="s">
        <v>197</v>
      </c>
      <c r="B176" s="433" t="s">
        <v>421</v>
      </c>
      <c r="C176" s="489">
        <f>C177+C185+C190</f>
        <v>0</v>
      </c>
      <c r="D176" s="489"/>
      <c r="E176" s="489">
        <f t="shared" si="152"/>
        <v>166576</v>
      </c>
      <c r="F176" s="495">
        <f t="shared" si="150"/>
        <v>166576</v>
      </c>
      <c r="G176" s="549">
        <f t="shared" ref="G176:R176" si="160">G177+G185+G190</f>
        <v>0</v>
      </c>
      <c r="H176" s="495">
        <f t="shared" ref="H176:K176" si="161">H177+H185+H190</f>
        <v>0</v>
      </c>
      <c r="I176" s="495">
        <f t="shared" ref="I176:J176" si="162">I177+I185+I190</f>
        <v>0</v>
      </c>
      <c r="J176" s="495">
        <f t="shared" si="162"/>
        <v>0</v>
      </c>
      <c r="K176" s="495">
        <f t="shared" si="161"/>
        <v>0</v>
      </c>
      <c r="L176" s="495">
        <f t="shared" si="160"/>
        <v>166576</v>
      </c>
      <c r="M176" s="495">
        <f t="shared" si="151"/>
        <v>0</v>
      </c>
      <c r="N176" s="549">
        <f t="shared" si="160"/>
        <v>0</v>
      </c>
      <c r="O176" s="495">
        <f t="shared" si="160"/>
        <v>0</v>
      </c>
      <c r="P176" s="495">
        <f t="shared" si="160"/>
        <v>0</v>
      </c>
      <c r="Q176" s="495">
        <f t="shared" ref="Q176" si="163">Q177+Q185+Q190</f>
        <v>0</v>
      </c>
      <c r="R176" s="495">
        <f t="shared" si="160"/>
        <v>0</v>
      </c>
      <c r="S176" s="549">
        <f>S177+S185+S190</f>
        <v>166576</v>
      </c>
      <c r="T176" s="549">
        <f t="shared" si="122"/>
        <v>0</v>
      </c>
      <c r="U176" s="549">
        <f t="shared" si="142"/>
        <v>166576</v>
      </c>
      <c r="V176" s="549"/>
      <c r="W176" s="549">
        <f t="shared" si="123"/>
        <v>0</v>
      </c>
      <c r="X176" s="546">
        <f t="shared" si="124"/>
        <v>0</v>
      </c>
    </row>
    <row r="177" spans="1:24" s="434" customFormat="1">
      <c r="A177" s="568">
        <v>1</v>
      </c>
      <c r="B177" s="433" t="s">
        <v>482</v>
      </c>
      <c r="C177" s="489"/>
      <c r="D177" s="489"/>
      <c r="E177" s="489">
        <f t="shared" si="152"/>
        <v>49988</v>
      </c>
      <c r="F177" s="495">
        <f t="shared" si="150"/>
        <v>49988</v>
      </c>
      <c r="G177" s="549">
        <f t="shared" ref="G177:R177" si="164">SUM(G178:G184)</f>
        <v>0</v>
      </c>
      <c r="H177" s="495">
        <f t="shared" ref="H177:K177" si="165">SUM(H178:H184)</f>
        <v>0</v>
      </c>
      <c r="I177" s="495">
        <f t="shared" ref="I177:J177" si="166">SUM(I178:I184)</f>
        <v>0</v>
      </c>
      <c r="J177" s="495">
        <f t="shared" si="166"/>
        <v>0</v>
      </c>
      <c r="K177" s="495">
        <f t="shared" si="165"/>
        <v>0</v>
      </c>
      <c r="L177" s="495">
        <f t="shared" si="164"/>
        <v>49988</v>
      </c>
      <c r="M177" s="495">
        <f t="shared" si="151"/>
        <v>0</v>
      </c>
      <c r="N177" s="549">
        <f t="shared" si="164"/>
        <v>0</v>
      </c>
      <c r="O177" s="495">
        <f t="shared" si="164"/>
        <v>0</v>
      </c>
      <c r="P177" s="495">
        <f t="shared" si="164"/>
        <v>0</v>
      </c>
      <c r="Q177" s="495">
        <f t="shared" ref="Q177" si="167">SUM(Q178:Q184)</f>
        <v>0</v>
      </c>
      <c r="R177" s="495">
        <f t="shared" si="164"/>
        <v>0</v>
      </c>
      <c r="S177" s="549">
        <f t="shared" ref="S177" si="168">SUM(S178:S184)</f>
        <v>49988</v>
      </c>
      <c r="T177" s="549">
        <f t="shared" si="122"/>
        <v>0</v>
      </c>
      <c r="U177" s="549">
        <f t="shared" si="126"/>
        <v>49988</v>
      </c>
      <c r="V177" s="549"/>
      <c r="W177" s="549">
        <f t="shared" si="123"/>
        <v>0</v>
      </c>
      <c r="X177" s="546">
        <f t="shared" si="124"/>
        <v>0</v>
      </c>
    </row>
    <row r="178" spans="1:24" s="434" customFormat="1" ht="31.5">
      <c r="A178" s="568"/>
      <c r="B178" s="583" t="s">
        <v>565</v>
      </c>
      <c r="C178" s="488"/>
      <c r="D178" s="488"/>
      <c r="E178" s="488">
        <f t="shared" si="152"/>
        <v>4535</v>
      </c>
      <c r="F178" s="495">
        <f t="shared" si="150"/>
        <v>4535</v>
      </c>
      <c r="G178" s="549"/>
      <c r="H178" s="495"/>
      <c r="I178" s="495"/>
      <c r="J178" s="495"/>
      <c r="K178" s="495"/>
      <c r="L178" s="495">
        <v>4535</v>
      </c>
      <c r="M178" s="495">
        <f t="shared" si="151"/>
        <v>0</v>
      </c>
      <c r="N178" s="549"/>
      <c r="O178" s="495"/>
      <c r="P178" s="495"/>
      <c r="Q178" s="495"/>
      <c r="R178" s="495"/>
      <c r="S178" s="549">
        <v>5782</v>
      </c>
      <c r="T178" s="549">
        <f t="shared" si="122"/>
        <v>0</v>
      </c>
      <c r="U178" s="549">
        <f t="shared" si="126"/>
        <v>5782</v>
      </c>
      <c r="V178" s="549"/>
      <c r="W178" s="549">
        <f t="shared" si="123"/>
        <v>0</v>
      </c>
      <c r="X178" s="546">
        <f t="shared" si="124"/>
        <v>0</v>
      </c>
    </row>
    <row r="179" spans="1:24" s="434" customFormat="1" ht="31.5">
      <c r="A179" s="568"/>
      <c r="B179" s="583" t="s">
        <v>571</v>
      </c>
      <c r="C179" s="488"/>
      <c r="D179" s="488"/>
      <c r="E179" s="488">
        <f t="shared" si="152"/>
        <v>25000</v>
      </c>
      <c r="F179" s="495">
        <f t="shared" si="150"/>
        <v>25000</v>
      </c>
      <c r="G179" s="549"/>
      <c r="H179" s="495"/>
      <c r="I179" s="495"/>
      <c r="J179" s="495"/>
      <c r="K179" s="495"/>
      <c r="L179" s="495">
        <v>25000</v>
      </c>
      <c r="M179" s="495">
        <f t="shared" si="151"/>
        <v>0</v>
      </c>
      <c r="N179" s="549"/>
      <c r="O179" s="495"/>
      <c r="P179" s="495"/>
      <c r="Q179" s="495"/>
      <c r="R179" s="495"/>
      <c r="S179" s="549">
        <v>4535</v>
      </c>
      <c r="T179" s="549">
        <f t="shared" si="122"/>
        <v>0</v>
      </c>
      <c r="U179" s="549">
        <f t="shared" si="126"/>
        <v>4535</v>
      </c>
      <c r="V179" s="549"/>
      <c r="W179" s="549">
        <f t="shared" si="123"/>
        <v>0</v>
      </c>
      <c r="X179" s="546">
        <f t="shared" si="124"/>
        <v>0</v>
      </c>
    </row>
    <row r="180" spans="1:24" s="434" customFormat="1" ht="31.5">
      <c r="A180" s="568"/>
      <c r="B180" s="583" t="s">
        <v>570</v>
      </c>
      <c r="C180" s="488"/>
      <c r="D180" s="488"/>
      <c r="E180" s="488">
        <f t="shared" si="152"/>
        <v>5782</v>
      </c>
      <c r="F180" s="495">
        <f t="shared" si="150"/>
        <v>5782</v>
      </c>
      <c r="G180" s="549"/>
      <c r="H180" s="495"/>
      <c r="I180" s="495"/>
      <c r="J180" s="495"/>
      <c r="K180" s="495"/>
      <c r="L180" s="495">
        <v>5782</v>
      </c>
      <c r="M180" s="495">
        <f t="shared" si="151"/>
        <v>0</v>
      </c>
      <c r="N180" s="549"/>
      <c r="O180" s="495"/>
      <c r="P180" s="495"/>
      <c r="Q180" s="495"/>
      <c r="R180" s="495"/>
      <c r="S180" s="549">
        <v>8988</v>
      </c>
      <c r="T180" s="549">
        <f t="shared" si="122"/>
        <v>0</v>
      </c>
      <c r="U180" s="549">
        <f t="shared" si="126"/>
        <v>8988</v>
      </c>
      <c r="V180" s="549"/>
      <c r="W180" s="549">
        <f t="shared" si="123"/>
        <v>0</v>
      </c>
      <c r="X180" s="546">
        <f t="shared" si="124"/>
        <v>0</v>
      </c>
    </row>
    <row r="181" spans="1:24" s="434" customFormat="1" ht="63">
      <c r="A181" s="568"/>
      <c r="B181" s="583" t="s">
        <v>567</v>
      </c>
      <c r="C181" s="488"/>
      <c r="D181" s="488"/>
      <c r="E181" s="488">
        <f t="shared" si="152"/>
        <v>2000</v>
      </c>
      <c r="F181" s="495">
        <f t="shared" si="150"/>
        <v>2000</v>
      </c>
      <c r="G181" s="549"/>
      <c r="H181" s="495"/>
      <c r="I181" s="495"/>
      <c r="J181" s="495"/>
      <c r="K181" s="495"/>
      <c r="L181" s="495">
        <v>2000</v>
      </c>
      <c r="M181" s="495">
        <f t="shared" si="151"/>
        <v>0</v>
      </c>
      <c r="N181" s="549"/>
      <c r="O181" s="495"/>
      <c r="P181" s="495"/>
      <c r="Q181" s="495"/>
      <c r="R181" s="495"/>
      <c r="S181" s="549">
        <v>1293</v>
      </c>
      <c r="T181" s="549">
        <f t="shared" si="122"/>
        <v>0</v>
      </c>
      <c r="U181" s="549">
        <f t="shared" si="126"/>
        <v>1293</v>
      </c>
      <c r="V181" s="549"/>
      <c r="W181" s="549">
        <f t="shared" si="123"/>
        <v>0</v>
      </c>
      <c r="X181" s="546">
        <f t="shared" si="124"/>
        <v>0</v>
      </c>
    </row>
    <row r="182" spans="1:24" s="434" customFormat="1">
      <c r="A182" s="568"/>
      <c r="B182" s="583" t="s">
        <v>568</v>
      </c>
      <c r="C182" s="488"/>
      <c r="D182" s="488"/>
      <c r="E182" s="488">
        <f t="shared" si="152"/>
        <v>1293</v>
      </c>
      <c r="F182" s="495">
        <f t="shared" si="150"/>
        <v>1293</v>
      </c>
      <c r="G182" s="549"/>
      <c r="H182" s="495"/>
      <c r="I182" s="495"/>
      <c r="J182" s="495"/>
      <c r="K182" s="495"/>
      <c r="L182" s="495">
        <v>1293</v>
      </c>
      <c r="M182" s="495">
        <f t="shared" si="151"/>
        <v>0</v>
      </c>
      <c r="N182" s="549"/>
      <c r="O182" s="495"/>
      <c r="P182" s="495"/>
      <c r="Q182" s="495"/>
      <c r="R182" s="495"/>
      <c r="S182" s="549">
        <v>2390</v>
      </c>
      <c r="T182" s="549">
        <f t="shared" si="122"/>
        <v>0</v>
      </c>
      <c r="U182" s="549">
        <f t="shared" si="126"/>
        <v>2390</v>
      </c>
      <c r="V182" s="549"/>
      <c r="W182" s="549">
        <f t="shared" si="123"/>
        <v>0</v>
      </c>
      <c r="X182" s="546">
        <f t="shared" si="124"/>
        <v>0</v>
      </c>
    </row>
    <row r="183" spans="1:24" s="434" customFormat="1">
      <c r="A183" s="568"/>
      <c r="B183" s="583" t="s">
        <v>569</v>
      </c>
      <c r="C183" s="488"/>
      <c r="D183" s="488"/>
      <c r="E183" s="488">
        <f t="shared" si="152"/>
        <v>8988</v>
      </c>
      <c r="F183" s="495">
        <f t="shared" si="150"/>
        <v>8988</v>
      </c>
      <c r="G183" s="549"/>
      <c r="H183" s="495"/>
      <c r="I183" s="495"/>
      <c r="J183" s="495"/>
      <c r="K183" s="495"/>
      <c r="L183" s="495">
        <v>8988</v>
      </c>
      <c r="M183" s="495">
        <f t="shared" si="151"/>
        <v>0</v>
      </c>
      <c r="N183" s="549"/>
      <c r="O183" s="495"/>
      <c r="P183" s="495"/>
      <c r="Q183" s="495"/>
      <c r="R183" s="495"/>
      <c r="S183" s="549">
        <v>25000</v>
      </c>
      <c r="T183" s="549">
        <f t="shared" si="122"/>
        <v>0</v>
      </c>
      <c r="U183" s="549">
        <f t="shared" si="126"/>
        <v>25000</v>
      </c>
      <c r="V183" s="549"/>
      <c r="W183" s="549">
        <f t="shared" si="123"/>
        <v>0</v>
      </c>
      <c r="X183" s="546">
        <f t="shared" si="124"/>
        <v>0</v>
      </c>
    </row>
    <row r="184" spans="1:24" s="434" customFormat="1" ht="47.25">
      <c r="A184" s="568"/>
      <c r="B184" s="583" t="s">
        <v>566</v>
      </c>
      <c r="C184" s="488"/>
      <c r="D184" s="488"/>
      <c r="E184" s="488">
        <f t="shared" si="152"/>
        <v>2390</v>
      </c>
      <c r="F184" s="495">
        <f t="shared" si="150"/>
        <v>2390</v>
      </c>
      <c r="G184" s="549"/>
      <c r="H184" s="495"/>
      <c r="I184" s="495"/>
      <c r="J184" s="495"/>
      <c r="K184" s="495"/>
      <c r="L184" s="495">
        <v>2390</v>
      </c>
      <c r="M184" s="495">
        <f t="shared" si="151"/>
        <v>0</v>
      </c>
      <c r="N184" s="549"/>
      <c r="O184" s="495"/>
      <c r="P184" s="495"/>
      <c r="Q184" s="495"/>
      <c r="R184" s="495"/>
      <c r="S184" s="549">
        <v>2000</v>
      </c>
      <c r="T184" s="549">
        <f t="shared" si="122"/>
        <v>0</v>
      </c>
      <c r="U184" s="549">
        <f t="shared" si="126"/>
        <v>2000</v>
      </c>
      <c r="V184" s="549"/>
      <c r="W184" s="549">
        <f t="shared" si="123"/>
        <v>0</v>
      </c>
      <c r="X184" s="546">
        <f t="shared" si="124"/>
        <v>0</v>
      </c>
    </row>
    <row r="185" spans="1:24" s="434" customFormat="1">
      <c r="A185" s="568">
        <v>2</v>
      </c>
      <c r="B185" s="433" t="s">
        <v>490</v>
      </c>
      <c r="C185" s="489"/>
      <c r="D185" s="489"/>
      <c r="E185" s="489">
        <f t="shared" si="152"/>
        <v>37098</v>
      </c>
      <c r="F185" s="495">
        <f t="shared" si="150"/>
        <v>37098</v>
      </c>
      <c r="G185" s="549">
        <f t="shared" ref="G185:S185" si="169">SUM(G186:G189)</f>
        <v>0</v>
      </c>
      <c r="H185" s="495">
        <f t="shared" ref="H185:K185" si="170">SUM(H186:H189)</f>
        <v>0</v>
      </c>
      <c r="I185" s="495">
        <f t="shared" ref="I185:J185" si="171">SUM(I186:I189)</f>
        <v>0</v>
      </c>
      <c r="J185" s="495">
        <f t="shared" si="171"/>
        <v>0</v>
      </c>
      <c r="K185" s="495">
        <f t="shared" si="170"/>
        <v>0</v>
      </c>
      <c r="L185" s="495">
        <f t="shared" si="169"/>
        <v>37098</v>
      </c>
      <c r="M185" s="495">
        <f t="shared" si="151"/>
        <v>0</v>
      </c>
      <c r="N185" s="549">
        <f t="shared" si="169"/>
        <v>0</v>
      </c>
      <c r="O185" s="495">
        <f t="shared" si="169"/>
        <v>0</v>
      </c>
      <c r="P185" s="495">
        <f t="shared" si="169"/>
        <v>0</v>
      </c>
      <c r="Q185" s="495">
        <f t="shared" ref="Q185" si="172">SUM(Q186:Q189)</f>
        <v>0</v>
      </c>
      <c r="R185" s="495">
        <f t="shared" si="169"/>
        <v>0</v>
      </c>
      <c r="S185" s="549">
        <f t="shared" si="169"/>
        <v>37098</v>
      </c>
      <c r="T185" s="549">
        <f t="shared" si="122"/>
        <v>0</v>
      </c>
      <c r="U185" s="549">
        <f t="shared" si="126"/>
        <v>37098</v>
      </c>
      <c r="V185" s="549"/>
      <c r="W185" s="549">
        <f t="shared" si="123"/>
        <v>0</v>
      </c>
      <c r="X185" s="546">
        <f t="shared" si="124"/>
        <v>0</v>
      </c>
    </row>
    <row r="186" spans="1:24" s="434" customFormat="1" ht="31.5">
      <c r="A186" s="568"/>
      <c r="B186" s="436" t="s">
        <v>491</v>
      </c>
      <c r="C186" s="488"/>
      <c r="D186" s="488"/>
      <c r="E186" s="488">
        <f t="shared" si="152"/>
        <v>1185</v>
      </c>
      <c r="F186" s="495">
        <f t="shared" si="150"/>
        <v>1185</v>
      </c>
      <c r="G186" s="549"/>
      <c r="H186" s="495"/>
      <c r="I186" s="495"/>
      <c r="J186" s="495"/>
      <c r="K186" s="495"/>
      <c r="L186" s="495">
        <v>1185</v>
      </c>
      <c r="M186" s="495">
        <f t="shared" si="151"/>
        <v>0</v>
      </c>
      <c r="N186" s="549"/>
      <c r="O186" s="495"/>
      <c r="P186" s="495"/>
      <c r="Q186" s="495"/>
      <c r="R186" s="495"/>
      <c r="S186" s="549">
        <v>1185</v>
      </c>
      <c r="T186" s="549">
        <f t="shared" si="122"/>
        <v>0</v>
      </c>
      <c r="U186" s="549">
        <f t="shared" si="126"/>
        <v>1185</v>
      </c>
      <c r="V186" s="549"/>
      <c r="W186" s="549">
        <f t="shared" si="123"/>
        <v>0</v>
      </c>
      <c r="X186" s="546">
        <f t="shared" si="124"/>
        <v>0</v>
      </c>
    </row>
    <row r="187" spans="1:24" s="434" customFormat="1">
      <c r="A187" s="568"/>
      <c r="B187" s="436" t="s">
        <v>492</v>
      </c>
      <c r="C187" s="488"/>
      <c r="D187" s="488"/>
      <c r="E187" s="488">
        <f t="shared" si="152"/>
        <v>980</v>
      </c>
      <c r="F187" s="495">
        <f t="shared" si="150"/>
        <v>980</v>
      </c>
      <c r="G187" s="549"/>
      <c r="H187" s="495"/>
      <c r="I187" s="495"/>
      <c r="J187" s="495"/>
      <c r="K187" s="495"/>
      <c r="L187" s="495">
        <v>980</v>
      </c>
      <c r="M187" s="495">
        <f t="shared" si="151"/>
        <v>0</v>
      </c>
      <c r="N187" s="549"/>
      <c r="O187" s="495"/>
      <c r="P187" s="495"/>
      <c r="Q187" s="495"/>
      <c r="R187" s="495"/>
      <c r="S187" s="549">
        <v>980</v>
      </c>
      <c r="T187" s="549">
        <f t="shared" si="122"/>
        <v>0</v>
      </c>
      <c r="U187" s="549">
        <f t="shared" si="126"/>
        <v>980</v>
      </c>
      <c r="V187" s="549"/>
      <c r="W187" s="549">
        <f t="shared" si="123"/>
        <v>0</v>
      </c>
      <c r="X187" s="546">
        <f t="shared" si="124"/>
        <v>0</v>
      </c>
    </row>
    <row r="188" spans="1:24" s="434" customFormat="1">
      <c r="A188" s="568"/>
      <c r="B188" s="436" t="s">
        <v>493</v>
      </c>
      <c r="C188" s="488"/>
      <c r="D188" s="488"/>
      <c r="E188" s="488">
        <f t="shared" si="152"/>
        <v>14933</v>
      </c>
      <c r="F188" s="495">
        <f t="shared" si="150"/>
        <v>14933</v>
      </c>
      <c r="G188" s="549"/>
      <c r="H188" s="495"/>
      <c r="I188" s="495"/>
      <c r="J188" s="495"/>
      <c r="K188" s="495"/>
      <c r="L188" s="495">
        <v>14933</v>
      </c>
      <c r="M188" s="495">
        <f t="shared" si="151"/>
        <v>0</v>
      </c>
      <c r="N188" s="549"/>
      <c r="O188" s="495"/>
      <c r="P188" s="495"/>
      <c r="Q188" s="495"/>
      <c r="R188" s="495"/>
      <c r="S188" s="549">
        <v>14933</v>
      </c>
      <c r="T188" s="549">
        <f t="shared" si="122"/>
        <v>0</v>
      </c>
      <c r="U188" s="549">
        <f t="shared" si="126"/>
        <v>14933</v>
      </c>
      <c r="V188" s="549"/>
      <c r="W188" s="549">
        <f t="shared" si="123"/>
        <v>0</v>
      </c>
      <c r="X188" s="546">
        <f t="shared" si="124"/>
        <v>0</v>
      </c>
    </row>
    <row r="189" spans="1:24" s="434" customFormat="1" ht="31.5">
      <c r="A189" s="568"/>
      <c r="B189" s="436" t="s">
        <v>494</v>
      </c>
      <c r="C189" s="488"/>
      <c r="D189" s="488"/>
      <c r="E189" s="488">
        <f t="shared" si="152"/>
        <v>20000</v>
      </c>
      <c r="F189" s="495">
        <f t="shared" si="150"/>
        <v>20000</v>
      </c>
      <c r="G189" s="549"/>
      <c r="H189" s="495"/>
      <c r="I189" s="495"/>
      <c r="J189" s="495"/>
      <c r="K189" s="495"/>
      <c r="L189" s="495">
        <v>20000</v>
      </c>
      <c r="M189" s="495">
        <f t="shared" si="151"/>
        <v>0</v>
      </c>
      <c r="N189" s="549"/>
      <c r="O189" s="495"/>
      <c r="P189" s="495"/>
      <c r="Q189" s="495"/>
      <c r="R189" s="495"/>
      <c r="S189" s="549">
        <v>20000</v>
      </c>
      <c r="T189" s="549">
        <f t="shared" si="122"/>
        <v>0</v>
      </c>
      <c r="U189" s="549">
        <f t="shared" si="126"/>
        <v>20000</v>
      </c>
      <c r="V189" s="549"/>
      <c r="W189" s="549">
        <f t="shared" si="123"/>
        <v>0</v>
      </c>
      <c r="X189" s="546">
        <f t="shared" si="124"/>
        <v>0</v>
      </c>
    </row>
    <row r="190" spans="1:24" s="434" customFormat="1">
      <c r="A190" s="568">
        <v>3</v>
      </c>
      <c r="B190" s="433" t="s">
        <v>495</v>
      </c>
      <c r="C190" s="489"/>
      <c r="D190" s="489"/>
      <c r="E190" s="488">
        <f t="shared" si="152"/>
        <v>79490</v>
      </c>
      <c r="F190" s="495">
        <f t="shared" si="150"/>
        <v>79490</v>
      </c>
      <c r="G190" s="549"/>
      <c r="H190" s="495"/>
      <c r="I190" s="495"/>
      <c r="J190" s="495"/>
      <c r="K190" s="495"/>
      <c r="L190" s="495">
        <v>79490</v>
      </c>
      <c r="M190" s="495">
        <f t="shared" si="151"/>
        <v>0</v>
      </c>
      <c r="N190" s="549"/>
      <c r="O190" s="495"/>
      <c r="P190" s="495"/>
      <c r="Q190" s="495"/>
      <c r="R190" s="495"/>
      <c r="S190" s="549">
        <v>79490</v>
      </c>
      <c r="T190" s="549">
        <f t="shared" si="122"/>
        <v>0</v>
      </c>
      <c r="U190" s="549">
        <f t="shared" si="126"/>
        <v>79490</v>
      </c>
      <c r="V190" s="549"/>
      <c r="W190" s="549">
        <f t="shared" si="123"/>
        <v>0</v>
      </c>
      <c r="X190" s="546">
        <f t="shared" si="124"/>
        <v>0</v>
      </c>
    </row>
    <row r="191" spans="1:24" s="434" customFormat="1">
      <c r="A191" s="568" t="s">
        <v>419</v>
      </c>
      <c r="B191" s="433" t="s">
        <v>424</v>
      </c>
      <c r="C191" s="489">
        <f>C192+C193</f>
        <v>0</v>
      </c>
      <c r="D191" s="489"/>
      <c r="E191" s="489">
        <f t="shared" si="152"/>
        <v>102967</v>
      </c>
      <c r="F191" s="495">
        <f t="shared" si="150"/>
        <v>102967</v>
      </c>
      <c r="G191" s="549">
        <f t="shared" ref="G191:R191" si="173">G192+G193</f>
        <v>0</v>
      </c>
      <c r="H191" s="495">
        <f t="shared" ref="H191:K191" si="174">H192+H193</f>
        <v>0</v>
      </c>
      <c r="I191" s="495">
        <f t="shared" ref="I191:J191" si="175">I192+I193</f>
        <v>0</v>
      </c>
      <c r="J191" s="495">
        <f t="shared" si="175"/>
        <v>0</v>
      </c>
      <c r="K191" s="495">
        <f t="shared" si="174"/>
        <v>0</v>
      </c>
      <c r="L191" s="495">
        <f t="shared" si="173"/>
        <v>102967</v>
      </c>
      <c r="M191" s="495">
        <f t="shared" si="151"/>
        <v>0</v>
      </c>
      <c r="N191" s="549">
        <f t="shared" si="173"/>
        <v>0</v>
      </c>
      <c r="O191" s="495">
        <f t="shared" si="173"/>
        <v>0</v>
      </c>
      <c r="P191" s="495">
        <f t="shared" si="173"/>
        <v>0</v>
      </c>
      <c r="Q191" s="495">
        <f t="shared" ref="Q191" si="176">Q192+Q193</f>
        <v>0</v>
      </c>
      <c r="R191" s="495">
        <f t="shared" si="173"/>
        <v>0</v>
      </c>
      <c r="S191" s="549">
        <f>S192+S193</f>
        <v>102967</v>
      </c>
      <c r="T191" s="549">
        <f t="shared" si="122"/>
        <v>0</v>
      </c>
      <c r="U191" s="549">
        <f t="shared" si="126"/>
        <v>102967</v>
      </c>
      <c r="V191" s="549"/>
      <c r="W191" s="549">
        <f t="shared" si="123"/>
        <v>0</v>
      </c>
      <c r="X191" s="546">
        <f t="shared" si="124"/>
        <v>0</v>
      </c>
    </row>
    <row r="192" spans="1:24" ht="31.5">
      <c r="A192" s="431"/>
      <c r="B192" s="436" t="s">
        <v>480</v>
      </c>
      <c r="C192" s="488"/>
      <c r="D192" s="488"/>
      <c r="E192" s="488">
        <f t="shared" si="152"/>
        <v>33167</v>
      </c>
      <c r="F192" s="495">
        <f t="shared" si="150"/>
        <v>33167</v>
      </c>
      <c r="G192" s="549"/>
      <c r="H192" s="495"/>
      <c r="I192" s="495"/>
      <c r="J192" s="495"/>
      <c r="K192" s="495"/>
      <c r="L192" s="495">
        <v>33167</v>
      </c>
      <c r="M192" s="495">
        <f t="shared" si="151"/>
        <v>0</v>
      </c>
      <c r="N192" s="549"/>
      <c r="O192" s="495"/>
      <c r="P192" s="495"/>
      <c r="Q192" s="495"/>
      <c r="R192" s="495"/>
      <c r="S192" s="549">
        <v>33167</v>
      </c>
      <c r="T192" s="549">
        <f t="shared" si="122"/>
        <v>0</v>
      </c>
      <c r="U192" s="549">
        <f t="shared" si="126"/>
        <v>33167</v>
      </c>
      <c r="V192" s="549"/>
      <c r="W192" s="549">
        <f t="shared" si="123"/>
        <v>0</v>
      </c>
      <c r="X192" s="546">
        <f t="shared" si="124"/>
        <v>0</v>
      </c>
    </row>
    <row r="193" spans="1:24" ht="31.5">
      <c r="A193" s="431"/>
      <c r="B193" s="436" t="s">
        <v>481</v>
      </c>
      <c r="C193" s="488"/>
      <c r="D193" s="488"/>
      <c r="E193" s="488">
        <f t="shared" si="152"/>
        <v>69800</v>
      </c>
      <c r="F193" s="495">
        <f t="shared" si="150"/>
        <v>69800</v>
      </c>
      <c r="G193" s="549"/>
      <c r="H193" s="495"/>
      <c r="I193" s="495"/>
      <c r="J193" s="495"/>
      <c r="K193" s="495"/>
      <c r="L193" s="495">
        <v>69800</v>
      </c>
      <c r="M193" s="495">
        <f t="shared" si="151"/>
        <v>0</v>
      </c>
      <c r="N193" s="549"/>
      <c r="O193" s="495"/>
      <c r="P193" s="495"/>
      <c r="Q193" s="495"/>
      <c r="R193" s="495"/>
      <c r="S193" s="549">
        <v>69800</v>
      </c>
      <c r="T193" s="549">
        <f t="shared" si="122"/>
        <v>0</v>
      </c>
      <c r="U193" s="549">
        <f>S193-T193</f>
        <v>69800</v>
      </c>
      <c r="V193" s="549"/>
      <c r="W193" s="549">
        <f t="shared" si="123"/>
        <v>0</v>
      </c>
      <c r="X193" s="546">
        <f t="shared" si="124"/>
        <v>0</v>
      </c>
    </row>
    <row r="194" spans="1:24" s="434" customFormat="1" ht="78.75">
      <c r="A194" s="568" t="s">
        <v>422</v>
      </c>
      <c r="B194" s="433" t="s">
        <v>439</v>
      </c>
      <c r="C194" s="488"/>
      <c r="D194" s="488"/>
      <c r="E194" s="489">
        <f>F194+M194</f>
        <v>3032462</v>
      </c>
      <c r="F194" s="495">
        <f>SUM(G194:L194)</f>
        <v>2802514</v>
      </c>
      <c r="G194" s="549"/>
      <c r="H194" s="495"/>
      <c r="I194" s="495"/>
      <c r="J194" s="495"/>
      <c r="K194" s="495">
        <f>K195+K204</f>
        <v>85822</v>
      </c>
      <c r="L194" s="495">
        <f>'Bieu 17'!L47-'ngay 27-11'!M194-'ngay 27-11'!K194</f>
        <v>2716692</v>
      </c>
      <c r="M194" s="495">
        <f>SUM(N194:R194)</f>
        <v>229948</v>
      </c>
      <c r="N194" s="495"/>
      <c r="O194" s="495"/>
      <c r="P194" s="495"/>
      <c r="Q194" s="495">
        <v>74545</v>
      </c>
      <c r="R194" s="495">
        <v>155403</v>
      </c>
      <c r="S194" s="549"/>
      <c r="T194" s="549">
        <f t="shared" si="122"/>
        <v>0</v>
      </c>
      <c r="U194" s="549">
        <f>S194-T194</f>
        <v>0</v>
      </c>
      <c r="V194" s="549"/>
      <c r="W194" s="549">
        <f t="shared" si="123"/>
        <v>0</v>
      </c>
      <c r="X194" s="546">
        <f t="shared" si="124"/>
        <v>0</v>
      </c>
    </row>
    <row r="195" spans="1:24" s="434" customFormat="1" ht="31.5">
      <c r="A195" s="732"/>
      <c r="B195" s="433" t="s">
        <v>735</v>
      </c>
      <c r="C195" s="489"/>
      <c r="D195" s="489"/>
      <c r="E195" s="489">
        <f>F195+M195</f>
        <v>67912</v>
      </c>
      <c r="F195" s="495">
        <f>SUM(G195:L195)</f>
        <v>58691</v>
      </c>
      <c r="G195" s="549"/>
      <c r="H195" s="495"/>
      <c r="I195" s="495"/>
      <c r="J195" s="495"/>
      <c r="K195" s="495">
        <f>(16497-6758)+(22446-11637-6844+2555)+3964+(33644-887+1432)+(94-43)+(893-467+83-56+73-36+243-129+581-438)+(1597-455)+(3150-884)+(155-82)</f>
        <v>58691</v>
      </c>
      <c r="L195" s="495"/>
      <c r="M195" s="495">
        <f>SUM(N195:R195)</f>
        <v>9221</v>
      </c>
      <c r="N195" s="549"/>
      <c r="O195" s="495"/>
      <c r="P195" s="495"/>
      <c r="Q195" s="495">
        <f>SUM(Q196:Q203)</f>
        <v>9221</v>
      </c>
      <c r="R195" s="495"/>
      <c r="S195" s="549"/>
      <c r="T195" s="549"/>
      <c r="U195" s="549"/>
      <c r="V195" s="549"/>
      <c r="W195" s="549"/>
      <c r="X195" s="549"/>
    </row>
    <row r="196" spans="1:24" s="434" customFormat="1">
      <c r="A196" s="732"/>
      <c r="B196" s="435" t="s">
        <v>733</v>
      </c>
      <c r="C196" s="489"/>
      <c r="D196" s="489"/>
      <c r="E196" s="489">
        <f>F196+M196</f>
        <v>0</v>
      </c>
      <c r="F196" s="495">
        <f>SUM(G196:L196)</f>
        <v>0</v>
      </c>
      <c r="G196" s="549"/>
      <c r="H196" s="495"/>
      <c r="I196" s="495"/>
      <c r="J196" s="495"/>
      <c r="K196" s="495"/>
      <c r="L196" s="495"/>
      <c r="M196" s="462">
        <f>SUM(N196:R196)</f>
        <v>0</v>
      </c>
      <c r="N196" s="549"/>
      <c r="O196" s="495"/>
      <c r="P196" s="495"/>
      <c r="Q196" s="495"/>
      <c r="R196" s="495"/>
      <c r="S196" s="549"/>
      <c r="T196" s="549"/>
      <c r="U196" s="549"/>
      <c r="V196" s="549"/>
      <c r="W196" s="549"/>
      <c r="X196" s="549"/>
    </row>
    <row r="197" spans="1:24" s="434" customFormat="1">
      <c r="A197" s="732"/>
      <c r="B197" s="435" t="s">
        <v>734</v>
      </c>
      <c r="C197" s="489"/>
      <c r="D197" s="489"/>
      <c r="E197" s="489"/>
      <c r="F197" s="462">
        <f t="shared" ref="F197:F203" si="177">SUM(G197:L197)</f>
        <v>0</v>
      </c>
      <c r="G197" s="549"/>
      <c r="H197" s="495"/>
      <c r="I197" s="495"/>
      <c r="J197" s="495"/>
      <c r="K197" s="495"/>
      <c r="L197" s="495"/>
      <c r="M197" s="495"/>
      <c r="N197" s="549"/>
      <c r="O197" s="495"/>
      <c r="P197" s="495"/>
      <c r="Q197" s="462">
        <f>513+319+189</f>
        <v>1021</v>
      </c>
      <c r="R197" s="495"/>
      <c r="S197" s="549"/>
      <c r="T197" s="549"/>
      <c r="U197" s="549"/>
      <c r="V197" s="549"/>
      <c r="W197" s="549"/>
      <c r="X197" s="549"/>
    </row>
    <row r="198" spans="1:24" s="424" customFormat="1">
      <c r="A198" s="432"/>
      <c r="B198" s="435" t="s">
        <v>727</v>
      </c>
      <c r="C198" s="731"/>
      <c r="D198" s="731"/>
      <c r="E198" s="731"/>
      <c r="F198" s="462">
        <f t="shared" si="177"/>
        <v>10484</v>
      </c>
      <c r="G198" s="547"/>
      <c r="H198" s="460"/>
      <c r="I198" s="460"/>
      <c r="J198" s="460"/>
      <c r="K198" s="460">
        <f>2555+22446-11637-6844+3964</f>
        <v>10484</v>
      </c>
      <c r="L198" s="460"/>
      <c r="M198" s="460"/>
      <c r="N198" s="547"/>
      <c r="O198" s="460"/>
      <c r="P198" s="460"/>
      <c r="Q198" s="460">
        <f>2412+2264</f>
        <v>4676</v>
      </c>
      <c r="R198" s="460"/>
      <c r="S198" s="547"/>
      <c r="T198" s="547"/>
      <c r="U198" s="547"/>
      <c r="V198" s="547"/>
      <c r="W198" s="547"/>
      <c r="X198" s="547"/>
    </row>
    <row r="199" spans="1:24" s="424" customFormat="1">
      <c r="A199" s="432"/>
      <c r="B199" s="435" t="s">
        <v>728</v>
      </c>
      <c r="C199" s="731"/>
      <c r="D199" s="731"/>
      <c r="E199" s="731"/>
      <c r="F199" s="462">
        <f t="shared" si="177"/>
        <v>34055</v>
      </c>
      <c r="G199" s="547"/>
      <c r="H199" s="460"/>
      <c r="I199" s="460"/>
      <c r="J199" s="460"/>
      <c r="K199" s="460">
        <f>33644-887+1298</f>
        <v>34055</v>
      </c>
      <c r="L199" s="460"/>
      <c r="M199" s="460"/>
      <c r="N199" s="547"/>
      <c r="O199" s="460"/>
      <c r="P199" s="460"/>
      <c r="Q199" s="460"/>
      <c r="R199" s="460"/>
      <c r="S199" s="547"/>
      <c r="T199" s="547"/>
      <c r="U199" s="547"/>
      <c r="V199" s="547"/>
      <c r="W199" s="547"/>
      <c r="X199" s="547"/>
    </row>
    <row r="200" spans="1:24" s="424" customFormat="1">
      <c r="A200" s="432"/>
      <c r="B200" s="435" t="s">
        <v>729</v>
      </c>
      <c r="C200" s="731"/>
      <c r="D200" s="731"/>
      <c r="E200" s="731"/>
      <c r="F200" s="462">
        <f t="shared" si="177"/>
        <v>747</v>
      </c>
      <c r="G200" s="547"/>
      <c r="H200" s="460"/>
      <c r="I200" s="460"/>
      <c r="J200" s="460"/>
      <c r="K200" s="460">
        <f>893-467+83-56+243-129+73-36+581-438</f>
        <v>747</v>
      </c>
      <c r="L200" s="460"/>
      <c r="M200" s="460"/>
      <c r="N200" s="547"/>
      <c r="O200" s="460"/>
      <c r="P200" s="460"/>
      <c r="Q200" s="460"/>
      <c r="R200" s="460"/>
      <c r="S200" s="547"/>
      <c r="T200" s="547"/>
      <c r="U200" s="547"/>
      <c r="V200" s="547"/>
      <c r="W200" s="547"/>
      <c r="X200" s="547"/>
    </row>
    <row r="201" spans="1:24" s="424" customFormat="1">
      <c r="A201" s="432"/>
      <c r="B201" s="435" t="s">
        <v>730</v>
      </c>
      <c r="C201" s="731"/>
      <c r="D201" s="731"/>
      <c r="E201" s="731"/>
      <c r="F201" s="462">
        <f t="shared" si="177"/>
        <v>1142</v>
      </c>
      <c r="G201" s="547"/>
      <c r="H201" s="460"/>
      <c r="I201" s="460"/>
      <c r="J201" s="460"/>
      <c r="K201" s="460">
        <f>1597-455</f>
        <v>1142</v>
      </c>
      <c r="L201" s="460"/>
      <c r="M201" s="460"/>
      <c r="N201" s="547"/>
      <c r="O201" s="460"/>
      <c r="P201" s="460"/>
      <c r="Q201" s="460">
        <v>3524</v>
      </c>
      <c r="R201" s="460"/>
      <c r="S201" s="547"/>
      <c r="T201" s="547"/>
      <c r="U201" s="547"/>
      <c r="V201" s="547"/>
      <c r="W201" s="547"/>
      <c r="X201" s="547"/>
    </row>
    <row r="202" spans="1:24" s="424" customFormat="1" ht="31.5">
      <c r="A202" s="432"/>
      <c r="B202" s="435" t="s">
        <v>732</v>
      </c>
      <c r="C202" s="731"/>
      <c r="D202" s="731"/>
      <c r="E202" s="731"/>
      <c r="F202" s="462">
        <f t="shared" si="177"/>
        <v>2390</v>
      </c>
      <c r="G202" s="547"/>
      <c r="H202" s="460"/>
      <c r="I202" s="460"/>
      <c r="J202" s="460"/>
      <c r="K202" s="460">
        <f>94-43+3150-884+155-82</f>
        <v>2390</v>
      </c>
      <c r="L202" s="460"/>
      <c r="M202" s="460"/>
      <c r="N202" s="547"/>
      <c r="O202" s="460"/>
      <c r="P202" s="460"/>
      <c r="Q202" s="460"/>
      <c r="R202" s="460"/>
      <c r="S202" s="547"/>
      <c r="T202" s="547"/>
      <c r="U202" s="547"/>
      <c r="V202" s="547"/>
      <c r="W202" s="547"/>
      <c r="X202" s="547"/>
    </row>
    <row r="203" spans="1:24" s="424" customFormat="1">
      <c r="A203" s="432"/>
      <c r="B203" s="435" t="s">
        <v>731</v>
      </c>
      <c r="C203" s="731"/>
      <c r="D203" s="731"/>
      <c r="E203" s="731"/>
      <c r="F203" s="462">
        <f t="shared" si="177"/>
        <v>6739</v>
      </c>
      <c r="G203" s="547"/>
      <c r="H203" s="460"/>
      <c r="I203" s="460"/>
      <c r="J203" s="460"/>
      <c r="K203" s="460">
        <f>15335-7704-892</f>
        <v>6739</v>
      </c>
      <c r="L203" s="460"/>
      <c r="M203" s="460"/>
      <c r="N203" s="547"/>
      <c r="O203" s="460"/>
      <c r="P203" s="460"/>
      <c r="Q203" s="460"/>
      <c r="R203" s="460"/>
      <c r="S203" s="547"/>
      <c r="T203" s="547"/>
      <c r="U203" s="547"/>
      <c r="V203" s="547"/>
      <c r="W203" s="547"/>
      <c r="X203" s="547"/>
    </row>
    <row r="204" spans="1:24" s="434" customFormat="1" ht="31.5">
      <c r="A204" s="732"/>
      <c r="B204" s="433" t="s">
        <v>736</v>
      </c>
      <c r="C204" s="489"/>
      <c r="D204" s="489"/>
      <c r="E204" s="489">
        <f>F204+M204</f>
        <v>92455</v>
      </c>
      <c r="F204" s="495">
        <f>SUM(G204:L204)</f>
        <v>27131</v>
      </c>
      <c r="G204" s="549"/>
      <c r="H204" s="495"/>
      <c r="I204" s="495"/>
      <c r="J204" s="495"/>
      <c r="K204" s="495">
        <f>2204+2208+(9635+13084)</f>
        <v>27131</v>
      </c>
      <c r="L204" s="495"/>
      <c r="M204" s="495">
        <f>SUM(N204:R204)</f>
        <v>65324</v>
      </c>
      <c r="N204" s="549"/>
      <c r="O204" s="495"/>
      <c r="P204" s="495"/>
      <c r="Q204" s="495">
        <f>SUM(Q205:Q212)</f>
        <v>65324</v>
      </c>
      <c r="R204" s="495"/>
      <c r="S204" s="549"/>
      <c r="T204" s="549"/>
      <c r="U204" s="549"/>
      <c r="V204" s="549"/>
      <c r="W204" s="549"/>
      <c r="X204" s="549"/>
    </row>
    <row r="205" spans="1:24" s="424" customFormat="1">
      <c r="A205" s="432"/>
      <c r="B205" s="435" t="s">
        <v>733</v>
      </c>
      <c r="C205" s="731"/>
      <c r="D205" s="731"/>
      <c r="E205" s="731"/>
      <c r="F205" s="460">
        <f>SUM(G205:L205)</f>
        <v>2204</v>
      </c>
      <c r="G205" s="547"/>
      <c r="H205" s="460"/>
      <c r="I205" s="460"/>
      <c r="J205" s="460"/>
      <c r="K205" s="460">
        <v>2204</v>
      </c>
      <c r="L205" s="460"/>
      <c r="M205" s="460">
        <f>SUM(N205:R205)</f>
        <v>0</v>
      </c>
      <c r="N205" s="547"/>
      <c r="O205" s="460"/>
      <c r="P205" s="460"/>
      <c r="Q205" s="460"/>
      <c r="R205" s="460"/>
      <c r="S205" s="547"/>
      <c r="T205" s="547"/>
      <c r="U205" s="547"/>
      <c r="V205" s="547"/>
      <c r="W205" s="547"/>
      <c r="X205" s="547"/>
    </row>
    <row r="206" spans="1:24" s="424" customFormat="1">
      <c r="A206" s="432"/>
      <c r="B206" s="435" t="s">
        <v>734</v>
      </c>
      <c r="C206" s="731"/>
      <c r="D206" s="731"/>
      <c r="E206" s="731"/>
      <c r="F206" s="460">
        <f t="shared" ref="F206:F212" si="178">SUM(G206:L206)</f>
        <v>0</v>
      </c>
      <c r="G206" s="547"/>
      <c r="H206" s="460"/>
      <c r="I206" s="460"/>
      <c r="J206" s="460"/>
      <c r="K206" s="460"/>
      <c r="L206" s="460"/>
      <c r="M206" s="460">
        <f t="shared" ref="M206:M212" si="179">SUM(N206:R206)</f>
        <v>0</v>
      </c>
      <c r="N206" s="547"/>
      <c r="O206" s="460"/>
      <c r="P206" s="460"/>
      <c r="Q206" s="460"/>
      <c r="R206" s="460"/>
      <c r="S206" s="547"/>
      <c r="T206" s="547"/>
      <c r="U206" s="547"/>
      <c r="V206" s="547"/>
      <c r="W206" s="547"/>
      <c r="X206" s="547"/>
    </row>
    <row r="207" spans="1:24">
      <c r="A207" s="431"/>
      <c r="B207" s="435" t="s">
        <v>727</v>
      </c>
      <c r="C207" s="488"/>
      <c r="D207" s="488"/>
      <c r="E207" s="488"/>
      <c r="F207" s="460">
        <f t="shared" si="178"/>
        <v>24927</v>
      </c>
      <c r="G207" s="546"/>
      <c r="H207" s="462"/>
      <c r="I207" s="462"/>
      <c r="J207" s="462"/>
      <c r="K207" s="460">
        <f>2208+9635+13084</f>
        <v>24927</v>
      </c>
      <c r="L207" s="462"/>
      <c r="M207" s="460">
        <f t="shared" si="179"/>
        <v>15693</v>
      </c>
      <c r="N207" s="546"/>
      <c r="O207" s="462"/>
      <c r="P207" s="462"/>
      <c r="Q207" s="460">
        <v>15693</v>
      </c>
      <c r="R207" s="462"/>
      <c r="S207" s="546"/>
      <c r="T207" s="546"/>
      <c r="U207" s="546"/>
      <c r="V207" s="546"/>
      <c r="W207" s="546"/>
      <c r="X207" s="546"/>
    </row>
    <row r="208" spans="1:24">
      <c r="A208" s="431"/>
      <c r="B208" s="435" t="s">
        <v>728</v>
      </c>
      <c r="C208" s="488"/>
      <c r="D208" s="488"/>
      <c r="E208" s="488"/>
      <c r="F208" s="460">
        <f t="shared" si="178"/>
        <v>0</v>
      </c>
      <c r="G208" s="546"/>
      <c r="H208" s="462"/>
      <c r="I208" s="462"/>
      <c r="J208" s="462"/>
      <c r="K208" s="460"/>
      <c r="L208" s="462"/>
      <c r="M208" s="460">
        <f t="shared" si="179"/>
        <v>8880</v>
      </c>
      <c r="N208" s="546"/>
      <c r="O208" s="462"/>
      <c r="P208" s="462"/>
      <c r="Q208" s="460">
        <f>6058+2822</f>
        <v>8880</v>
      </c>
      <c r="R208" s="462"/>
      <c r="S208" s="546"/>
      <c r="T208" s="546"/>
      <c r="U208" s="546"/>
      <c r="V208" s="546"/>
      <c r="W208" s="546"/>
      <c r="X208" s="546"/>
    </row>
    <row r="209" spans="1:24">
      <c r="A209" s="431"/>
      <c r="B209" s="435" t="s">
        <v>729</v>
      </c>
      <c r="C209" s="488"/>
      <c r="D209" s="488"/>
      <c r="E209" s="488"/>
      <c r="F209" s="460">
        <f t="shared" si="178"/>
        <v>0</v>
      </c>
      <c r="G209" s="546"/>
      <c r="H209" s="462"/>
      <c r="I209" s="462"/>
      <c r="J209" s="462"/>
      <c r="K209" s="460"/>
      <c r="L209" s="462"/>
      <c r="M209" s="460">
        <f t="shared" si="179"/>
        <v>0</v>
      </c>
      <c r="N209" s="546"/>
      <c r="O209" s="462"/>
      <c r="P209" s="462"/>
      <c r="Q209" s="460"/>
      <c r="R209" s="462"/>
      <c r="S209" s="546"/>
      <c r="T209" s="546"/>
      <c r="U209" s="546"/>
      <c r="V209" s="546"/>
      <c r="W209" s="546"/>
      <c r="X209" s="546"/>
    </row>
    <row r="210" spans="1:24">
      <c r="A210" s="431"/>
      <c r="B210" s="435" t="s">
        <v>730</v>
      </c>
      <c r="C210" s="488"/>
      <c r="D210" s="488"/>
      <c r="E210" s="488"/>
      <c r="F210" s="460">
        <f t="shared" si="178"/>
        <v>0</v>
      </c>
      <c r="G210" s="546"/>
      <c r="H210" s="462"/>
      <c r="I210" s="462"/>
      <c r="J210" s="462"/>
      <c r="K210" s="460"/>
      <c r="L210" s="462"/>
      <c r="M210" s="460">
        <f t="shared" si="179"/>
        <v>38725</v>
      </c>
      <c r="N210" s="546"/>
      <c r="O210" s="462"/>
      <c r="P210" s="462"/>
      <c r="Q210" s="460">
        <f>18475+20250</f>
        <v>38725</v>
      </c>
      <c r="R210" s="462"/>
      <c r="S210" s="546"/>
      <c r="T210" s="546"/>
      <c r="U210" s="546"/>
      <c r="V210" s="546"/>
      <c r="W210" s="546"/>
      <c r="X210" s="546"/>
    </row>
    <row r="211" spans="1:24" ht="31.5">
      <c r="A211" s="431"/>
      <c r="B211" s="435" t="s">
        <v>732</v>
      </c>
      <c r="C211" s="488"/>
      <c r="D211" s="488"/>
      <c r="E211" s="488"/>
      <c r="F211" s="460">
        <f t="shared" si="178"/>
        <v>0</v>
      </c>
      <c r="G211" s="546"/>
      <c r="H211" s="462"/>
      <c r="I211" s="462"/>
      <c r="J211" s="462"/>
      <c r="K211" s="460"/>
      <c r="L211" s="462"/>
      <c r="M211" s="460">
        <f t="shared" si="179"/>
        <v>2026</v>
      </c>
      <c r="N211" s="546"/>
      <c r="O211" s="462"/>
      <c r="P211" s="462"/>
      <c r="Q211" s="460">
        <v>2026</v>
      </c>
      <c r="R211" s="462"/>
      <c r="S211" s="546"/>
      <c r="T211" s="546"/>
      <c r="U211" s="546"/>
      <c r="V211" s="546"/>
      <c r="W211" s="546"/>
      <c r="X211" s="546"/>
    </row>
    <row r="212" spans="1:24">
      <c r="A212" s="431"/>
      <c r="B212" s="435" t="s">
        <v>731</v>
      </c>
      <c r="C212" s="488"/>
      <c r="D212" s="488"/>
      <c r="E212" s="488"/>
      <c r="F212" s="460">
        <f t="shared" si="178"/>
        <v>0</v>
      </c>
      <c r="G212" s="546"/>
      <c r="H212" s="462"/>
      <c r="I212" s="462"/>
      <c r="J212" s="462"/>
      <c r="K212" s="460"/>
      <c r="L212" s="462"/>
      <c r="M212" s="460">
        <f t="shared" si="179"/>
        <v>0</v>
      </c>
      <c r="N212" s="546"/>
      <c r="O212" s="462"/>
      <c r="P212" s="462"/>
      <c r="Q212" s="460"/>
      <c r="R212" s="462"/>
      <c r="S212" s="546"/>
      <c r="T212" s="546"/>
      <c r="U212" s="546"/>
      <c r="V212" s="546"/>
      <c r="W212" s="546"/>
      <c r="X212" s="546"/>
    </row>
    <row r="213" spans="1:24" s="434" customFormat="1" ht="31.5">
      <c r="A213" s="568" t="s">
        <v>423</v>
      </c>
      <c r="B213" s="433" t="s">
        <v>420</v>
      </c>
      <c r="C213" s="489">
        <v>1450</v>
      </c>
      <c r="D213" s="489"/>
      <c r="E213" s="488">
        <f t="shared" si="152"/>
        <v>1450</v>
      </c>
      <c r="F213" s="495">
        <f t="shared" si="150"/>
        <v>1450</v>
      </c>
      <c r="G213" s="549"/>
      <c r="H213" s="495"/>
      <c r="I213" s="495"/>
      <c r="J213" s="495"/>
      <c r="K213" s="495"/>
      <c r="L213" s="495">
        <v>1450</v>
      </c>
      <c r="M213" s="495">
        <f t="shared" si="151"/>
        <v>0</v>
      </c>
      <c r="N213" s="549"/>
      <c r="O213" s="495"/>
      <c r="P213" s="495"/>
      <c r="Q213" s="495"/>
      <c r="R213" s="495"/>
      <c r="S213" s="549"/>
      <c r="T213" s="549">
        <f t="shared" si="122"/>
        <v>0</v>
      </c>
      <c r="U213" s="549">
        <f>S213-T213</f>
        <v>0</v>
      </c>
      <c r="V213" s="549"/>
      <c r="W213" s="549">
        <f t="shared" si="123"/>
        <v>0</v>
      </c>
      <c r="X213" s="546">
        <f t="shared" si="124"/>
        <v>0</v>
      </c>
    </row>
    <row r="214" spans="1:24" s="434" customFormat="1">
      <c r="A214" s="568" t="s">
        <v>425</v>
      </c>
      <c r="B214" s="433" t="s">
        <v>669</v>
      </c>
      <c r="C214" s="488"/>
      <c r="D214" s="488"/>
      <c r="E214" s="488">
        <f t="shared" si="152"/>
        <v>11901</v>
      </c>
      <c r="F214" s="495">
        <f t="shared" si="150"/>
        <v>11901</v>
      </c>
      <c r="G214" s="549">
        <v>11901</v>
      </c>
      <c r="H214" s="495"/>
      <c r="I214" s="495"/>
      <c r="J214" s="495"/>
      <c r="K214" s="495"/>
      <c r="L214" s="495">
        <f>X214</f>
        <v>0</v>
      </c>
      <c r="M214" s="495">
        <f t="shared" si="151"/>
        <v>0</v>
      </c>
      <c r="N214" s="549"/>
      <c r="O214" s="495"/>
      <c r="P214" s="495"/>
      <c r="Q214" s="495"/>
      <c r="R214" s="495"/>
      <c r="S214" s="549"/>
      <c r="T214" s="549">
        <f t="shared" si="122"/>
        <v>0</v>
      </c>
      <c r="U214" s="549">
        <f>S214-T214</f>
        <v>0</v>
      </c>
      <c r="V214" s="495">
        <f>720295+131803-473361-100000-200000-78737</f>
        <v>0</v>
      </c>
      <c r="W214" s="549">
        <f t="shared" si="123"/>
        <v>0</v>
      </c>
      <c r="X214" s="546">
        <f t="shared" si="124"/>
        <v>0</v>
      </c>
    </row>
    <row r="215" spans="1:24" s="434" customFormat="1" ht="47.25">
      <c r="A215" s="568" t="s">
        <v>460</v>
      </c>
      <c r="B215" s="433" t="s">
        <v>466</v>
      </c>
      <c r="C215" s="489">
        <v>11000</v>
      </c>
      <c r="D215" s="489"/>
      <c r="E215" s="488">
        <f t="shared" si="152"/>
        <v>15000</v>
      </c>
      <c r="F215" s="495">
        <f t="shared" si="150"/>
        <v>0</v>
      </c>
      <c r="G215" s="549"/>
      <c r="H215" s="495"/>
      <c r="I215" s="495"/>
      <c r="J215" s="495"/>
      <c r="K215" s="495"/>
      <c r="L215" s="495"/>
      <c r="M215" s="495">
        <f t="shared" si="151"/>
        <v>15000</v>
      </c>
      <c r="N215" s="549">
        <v>15000</v>
      </c>
      <c r="O215" s="495"/>
      <c r="P215" s="495"/>
      <c r="Q215" s="495"/>
      <c r="R215" s="495"/>
      <c r="S215" s="549"/>
      <c r="T215" s="549">
        <f t="shared" si="122"/>
        <v>0</v>
      </c>
      <c r="U215" s="549">
        <f>S215-T215</f>
        <v>0</v>
      </c>
      <c r="V215" s="549"/>
      <c r="W215" s="549">
        <f t="shared" si="123"/>
        <v>0</v>
      </c>
      <c r="X215" s="546">
        <f t="shared" si="124"/>
        <v>0</v>
      </c>
    </row>
    <row r="216" spans="1:24">
      <c r="A216" s="437"/>
      <c r="B216" s="438"/>
      <c r="C216" s="565"/>
      <c r="D216" s="565"/>
      <c r="E216" s="565"/>
      <c r="F216" s="565"/>
      <c r="G216" s="578"/>
      <c r="H216" s="565"/>
      <c r="I216" s="565"/>
      <c r="J216" s="565"/>
      <c r="K216" s="565"/>
      <c r="L216" s="565"/>
      <c r="M216" s="565"/>
      <c r="N216" s="578"/>
      <c r="O216" s="565"/>
      <c r="P216" s="565"/>
      <c r="Q216" s="565"/>
      <c r="R216" s="565"/>
      <c r="S216" s="578"/>
      <c r="T216" s="578"/>
      <c r="U216" s="578"/>
      <c r="V216" s="578"/>
      <c r="W216" s="578"/>
      <c r="X216" s="578"/>
    </row>
    <row r="217" spans="1:24">
      <c r="C217" s="566"/>
      <c r="D217" s="566"/>
      <c r="E217" s="566"/>
      <c r="F217" s="566"/>
      <c r="G217" s="567"/>
      <c r="H217" s="566"/>
      <c r="I217" s="566"/>
      <c r="J217" s="566"/>
      <c r="K217" s="566"/>
      <c r="L217" s="566"/>
      <c r="M217" s="566"/>
      <c r="N217" s="567"/>
      <c r="O217" s="566"/>
      <c r="P217" s="566"/>
      <c r="Q217" s="566"/>
      <c r="R217" s="566"/>
      <c r="S217" s="567"/>
      <c r="T217" s="567"/>
      <c r="U217" s="567"/>
      <c r="V217" s="567"/>
      <c r="W217" s="567"/>
      <c r="X217" s="567"/>
    </row>
    <row r="218" spans="1:24">
      <c r="C218" s="566"/>
      <c r="D218" s="566"/>
      <c r="E218" s="566"/>
      <c r="F218" s="566"/>
      <c r="G218" s="567"/>
      <c r="H218" s="566"/>
      <c r="I218" s="566"/>
      <c r="J218" s="566"/>
      <c r="K218" s="566"/>
      <c r="L218" s="566">
        <f>L41+L49+L71+L89+L92+L103+L108+L117+L136+L150+L155+L167+L173</f>
        <v>1080967</v>
      </c>
      <c r="M218" s="566"/>
      <c r="N218" s="567"/>
      <c r="O218" s="566"/>
      <c r="P218" s="566"/>
      <c r="Q218" s="566"/>
      <c r="R218" s="566"/>
      <c r="S218" s="567"/>
      <c r="T218" s="567"/>
      <c r="U218" s="567"/>
      <c r="V218" s="567"/>
      <c r="W218" s="567"/>
      <c r="X218" s="567"/>
    </row>
    <row r="219" spans="1:24">
      <c r="C219" s="566"/>
      <c r="D219" s="566"/>
      <c r="E219" s="566"/>
      <c r="F219" s="566"/>
      <c r="G219" s="567"/>
      <c r="H219" s="566"/>
      <c r="I219" s="566"/>
      <c r="J219" s="566"/>
      <c r="K219" s="566"/>
      <c r="L219" s="566"/>
      <c r="M219" s="566"/>
      <c r="N219" s="567"/>
      <c r="O219" s="566"/>
      <c r="P219" s="566"/>
      <c r="Q219" s="566"/>
      <c r="R219" s="566"/>
      <c r="S219" s="567"/>
      <c r="T219" s="567"/>
      <c r="U219" s="567"/>
      <c r="V219" s="567"/>
      <c r="W219" s="567"/>
      <c r="X219" s="567"/>
    </row>
    <row r="220" spans="1:24" ht="33">
      <c r="C220" s="566"/>
      <c r="D220" s="566"/>
      <c r="E220" s="566"/>
      <c r="F220" s="566"/>
      <c r="G220" s="567"/>
      <c r="H220" s="566"/>
      <c r="I220" s="566"/>
      <c r="J220" s="566" t="s">
        <v>884</v>
      </c>
      <c r="K220" s="566"/>
      <c r="L220" s="567">
        <f>(L68+L82+L96+L107+L116+L132+L148+L154+L163+L172)+(L41+L49+L71+L89+L103+L108+L117+L136+L150+L155+L167+L173)*10%</f>
        <v>173784.6</v>
      </c>
      <c r="M220" s="566"/>
      <c r="N220" s="567"/>
      <c r="O220" s="566"/>
      <c r="P220" s="566"/>
      <c r="Q220" s="566"/>
      <c r="R220" s="566"/>
      <c r="S220" s="567"/>
      <c r="T220" s="567"/>
      <c r="U220" s="567"/>
      <c r="V220" s="567"/>
      <c r="W220" s="567"/>
      <c r="X220" s="567"/>
    </row>
    <row r="221" spans="1:24">
      <c r="C221" s="566"/>
      <c r="D221" s="566"/>
      <c r="E221" s="566"/>
      <c r="F221" s="566"/>
      <c r="G221" s="567"/>
      <c r="H221" s="566"/>
      <c r="I221" s="566"/>
      <c r="J221" s="566"/>
      <c r="K221" s="566"/>
      <c r="L221" s="566"/>
      <c r="M221" s="566"/>
      <c r="N221" s="567"/>
      <c r="O221" s="566"/>
      <c r="P221" s="566"/>
      <c r="Q221" s="566"/>
      <c r="R221" s="566"/>
      <c r="S221" s="567"/>
      <c r="T221" s="567"/>
      <c r="U221" s="567"/>
      <c r="V221" s="567"/>
      <c r="W221" s="567"/>
      <c r="X221" s="567"/>
    </row>
    <row r="222" spans="1:24">
      <c r="C222" s="566"/>
      <c r="D222" s="566"/>
      <c r="E222" s="566"/>
      <c r="F222" s="566"/>
      <c r="G222" s="567"/>
      <c r="H222" s="566"/>
      <c r="I222" s="566"/>
      <c r="J222" s="566"/>
      <c r="K222" s="566"/>
      <c r="L222" s="566"/>
      <c r="M222" s="566"/>
      <c r="N222" s="567"/>
      <c r="O222" s="566"/>
      <c r="P222" s="566"/>
      <c r="Q222" s="566"/>
      <c r="R222" s="566"/>
      <c r="S222" s="567"/>
      <c r="T222" s="567"/>
      <c r="U222" s="567"/>
      <c r="V222" s="567"/>
      <c r="W222" s="567"/>
      <c r="X222" s="567"/>
    </row>
    <row r="223" spans="1:24">
      <c r="C223" s="566"/>
      <c r="D223" s="566"/>
      <c r="E223" s="566"/>
      <c r="F223" s="566"/>
      <c r="G223" s="567"/>
      <c r="H223" s="566"/>
      <c r="I223" s="566"/>
      <c r="J223" s="566"/>
      <c r="K223" s="566"/>
      <c r="L223" s="566"/>
      <c r="M223" s="566"/>
      <c r="N223" s="567"/>
      <c r="O223" s="566"/>
      <c r="P223" s="566"/>
      <c r="Q223" s="566"/>
      <c r="R223" s="566"/>
      <c r="S223" s="567"/>
      <c r="T223" s="567"/>
      <c r="U223" s="567"/>
      <c r="V223" s="567"/>
      <c r="W223" s="567"/>
      <c r="X223" s="567"/>
    </row>
    <row r="224" spans="1:24">
      <c r="C224" s="566"/>
      <c r="D224" s="566"/>
      <c r="E224" s="566"/>
      <c r="F224" s="566"/>
      <c r="G224" s="567"/>
      <c r="H224" s="566"/>
      <c r="I224" s="566"/>
      <c r="J224" s="566"/>
      <c r="K224" s="566"/>
      <c r="L224" s="566"/>
      <c r="M224" s="566"/>
      <c r="N224" s="567"/>
      <c r="O224" s="566"/>
      <c r="P224" s="566"/>
      <c r="Q224" s="566"/>
      <c r="R224" s="566"/>
      <c r="S224" s="567"/>
      <c r="T224" s="567"/>
      <c r="U224" s="567"/>
      <c r="V224" s="567"/>
      <c r="W224" s="567"/>
      <c r="X224" s="567"/>
    </row>
    <row r="225" spans="3:24">
      <c r="C225" s="566"/>
      <c r="D225" s="566"/>
      <c r="E225" s="566"/>
      <c r="F225" s="566"/>
      <c r="G225" s="567"/>
      <c r="H225" s="566"/>
      <c r="I225" s="566"/>
      <c r="J225" s="566"/>
      <c r="K225" s="566"/>
      <c r="L225" s="566"/>
      <c r="M225" s="566"/>
      <c r="N225" s="567"/>
      <c r="O225" s="566"/>
      <c r="P225" s="566"/>
      <c r="Q225" s="566"/>
      <c r="R225" s="566"/>
      <c r="S225" s="567"/>
      <c r="T225" s="567"/>
      <c r="U225" s="567"/>
      <c r="V225" s="567"/>
      <c r="W225" s="567"/>
      <c r="X225" s="567"/>
    </row>
    <row r="226" spans="3:24">
      <c r="C226" s="566"/>
      <c r="D226" s="566"/>
      <c r="E226" s="566"/>
      <c r="F226" s="566"/>
      <c r="G226" s="567"/>
      <c r="H226" s="566"/>
      <c r="I226" s="566"/>
      <c r="J226" s="566"/>
      <c r="K226" s="566"/>
      <c r="L226" s="566"/>
      <c r="M226" s="566"/>
      <c r="N226" s="567"/>
      <c r="O226" s="566"/>
      <c r="P226" s="566"/>
      <c r="Q226" s="566"/>
      <c r="R226" s="566"/>
      <c r="S226" s="567"/>
      <c r="T226" s="567"/>
      <c r="U226" s="567"/>
      <c r="V226" s="567"/>
      <c r="W226" s="567"/>
      <c r="X226" s="567"/>
    </row>
    <row r="227" spans="3:24">
      <c r="C227" s="566"/>
      <c r="D227" s="566"/>
      <c r="E227" s="566"/>
      <c r="F227" s="566"/>
      <c r="G227" s="567"/>
      <c r="H227" s="566"/>
      <c r="I227" s="566"/>
      <c r="J227" s="566"/>
      <c r="K227" s="566"/>
      <c r="L227" s="566"/>
      <c r="M227" s="566"/>
      <c r="N227" s="567"/>
      <c r="O227" s="566"/>
      <c r="P227" s="566"/>
      <c r="Q227" s="566"/>
      <c r="R227" s="566"/>
      <c r="S227" s="567"/>
      <c r="T227" s="567"/>
      <c r="U227" s="567"/>
      <c r="V227" s="567"/>
      <c r="W227" s="567"/>
      <c r="X227" s="567"/>
    </row>
    <row r="228" spans="3:24">
      <c r="C228" s="566"/>
      <c r="D228" s="566"/>
      <c r="E228" s="566"/>
      <c r="F228" s="566"/>
      <c r="G228" s="567"/>
      <c r="H228" s="566"/>
      <c r="I228" s="566"/>
      <c r="J228" s="566"/>
      <c r="K228" s="566"/>
      <c r="L228" s="566"/>
      <c r="M228" s="566"/>
      <c r="N228" s="567"/>
      <c r="O228" s="566"/>
      <c r="P228" s="566"/>
      <c r="Q228" s="566"/>
      <c r="R228" s="566"/>
      <c r="S228" s="567"/>
      <c r="T228" s="567"/>
      <c r="U228" s="567"/>
      <c r="V228" s="567"/>
      <c r="W228" s="567"/>
      <c r="X228" s="567"/>
    </row>
    <row r="229" spans="3:24">
      <c r="C229" s="566"/>
      <c r="D229" s="566"/>
      <c r="E229" s="566"/>
      <c r="F229" s="566"/>
      <c r="G229" s="567"/>
      <c r="H229" s="566"/>
      <c r="I229" s="566"/>
      <c r="J229" s="566"/>
      <c r="K229" s="566"/>
      <c r="L229" s="566"/>
      <c r="M229" s="566"/>
      <c r="N229" s="567"/>
      <c r="O229" s="566"/>
      <c r="P229" s="566"/>
      <c r="Q229" s="566"/>
      <c r="R229" s="566"/>
      <c r="S229" s="567"/>
      <c r="T229" s="567"/>
      <c r="U229" s="567"/>
      <c r="V229" s="567"/>
      <c r="W229" s="567"/>
      <c r="X229" s="567"/>
    </row>
    <row r="230" spans="3:24">
      <c r="C230" s="566"/>
      <c r="D230" s="566"/>
      <c r="E230" s="566"/>
      <c r="F230" s="566"/>
      <c r="G230" s="567"/>
      <c r="H230" s="566"/>
      <c r="I230" s="566"/>
      <c r="J230" s="566"/>
      <c r="K230" s="566"/>
      <c r="L230" s="566"/>
      <c r="M230" s="566"/>
      <c r="N230" s="567"/>
      <c r="O230" s="566"/>
      <c r="P230" s="566"/>
      <c r="Q230" s="566"/>
      <c r="R230" s="566"/>
      <c r="S230" s="567"/>
      <c r="T230" s="567"/>
      <c r="U230" s="567"/>
      <c r="V230" s="567"/>
      <c r="W230" s="567"/>
      <c r="X230" s="567"/>
    </row>
    <row r="231" spans="3:24">
      <c r="C231" s="566"/>
      <c r="D231" s="566"/>
      <c r="E231" s="566"/>
      <c r="F231" s="566"/>
      <c r="G231" s="567"/>
      <c r="H231" s="566"/>
      <c r="I231" s="566"/>
      <c r="J231" s="566"/>
      <c r="K231" s="566"/>
      <c r="L231" s="566"/>
      <c r="M231" s="566"/>
      <c r="N231" s="567"/>
      <c r="O231" s="566"/>
      <c r="P231" s="566"/>
      <c r="Q231" s="566"/>
      <c r="R231" s="566"/>
      <c r="S231" s="567"/>
      <c r="T231" s="567"/>
      <c r="U231" s="567"/>
      <c r="V231" s="567"/>
      <c r="W231" s="567"/>
      <c r="X231" s="567"/>
    </row>
    <row r="232" spans="3:24">
      <c r="C232" s="566"/>
      <c r="D232" s="566"/>
      <c r="E232" s="566"/>
      <c r="F232" s="566"/>
      <c r="G232" s="567"/>
      <c r="H232" s="566"/>
      <c r="I232" s="566"/>
      <c r="J232" s="566"/>
      <c r="K232" s="566"/>
      <c r="L232" s="566"/>
      <c r="M232" s="566"/>
      <c r="N232" s="567"/>
      <c r="O232" s="566"/>
      <c r="P232" s="566"/>
      <c r="Q232" s="566"/>
      <c r="R232" s="566"/>
      <c r="S232" s="567"/>
      <c r="T232" s="567"/>
      <c r="U232" s="567"/>
      <c r="V232" s="567"/>
      <c r="W232" s="567"/>
      <c r="X232" s="567"/>
    </row>
    <row r="233" spans="3:24">
      <c r="C233" s="566"/>
      <c r="D233" s="566"/>
      <c r="E233" s="566"/>
      <c r="F233" s="566"/>
      <c r="G233" s="567"/>
      <c r="H233" s="566"/>
      <c r="I233" s="566"/>
      <c r="J233" s="566"/>
      <c r="K233" s="566"/>
      <c r="L233" s="566"/>
      <c r="M233" s="566"/>
      <c r="N233" s="567"/>
      <c r="O233" s="566"/>
      <c r="P233" s="566"/>
      <c r="Q233" s="566"/>
      <c r="R233" s="566"/>
      <c r="S233" s="567"/>
      <c r="T233" s="567"/>
      <c r="U233" s="567"/>
      <c r="V233" s="567"/>
      <c r="W233" s="567"/>
      <c r="X233" s="567"/>
    </row>
    <row r="234" spans="3:24">
      <c r="C234" s="566"/>
      <c r="D234" s="566"/>
      <c r="E234" s="566"/>
      <c r="F234" s="566"/>
      <c r="G234" s="567"/>
      <c r="H234" s="566"/>
      <c r="I234" s="566"/>
      <c r="J234" s="566"/>
      <c r="K234" s="566"/>
      <c r="L234" s="566"/>
      <c r="M234" s="566"/>
      <c r="N234" s="567"/>
      <c r="O234" s="566"/>
      <c r="P234" s="566"/>
      <c r="Q234" s="566"/>
      <c r="R234" s="566"/>
      <c r="S234" s="567"/>
      <c r="T234" s="567"/>
      <c r="U234" s="567"/>
      <c r="V234" s="567"/>
      <c r="W234" s="567"/>
      <c r="X234" s="567"/>
    </row>
    <row r="235" spans="3:24">
      <c r="C235" s="566"/>
      <c r="D235" s="566"/>
      <c r="E235" s="566"/>
      <c r="F235" s="566"/>
      <c r="G235" s="567"/>
      <c r="H235" s="566"/>
      <c r="I235" s="566"/>
      <c r="J235" s="566"/>
      <c r="K235" s="566"/>
      <c r="L235" s="566"/>
      <c r="M235" s="566"/>
      <c r="N235" s="567"/>
      <c r="O235" s="566"/>
      <c r="P235" s="566"/>
      <c r="Q235" s="566"/>
      <c r="R235" s="566"/>
      <c r="S235" s="567"/>
      <c r="T235" s="567"/>
      <c r="U235" s="567"/>
      <c r="V235" s="567"/>
      <c r="W235" s="567"/>
      <c r="X235" s="567"/>
    </row>
    <row r="236" spans="3:24">
      <c r="C236" s="566"/>
      <c r="D236" s="566"/>
      <c r="E236" s="566"/>
      <c r="F236" s="566"/>
      <c r="G236" s="567"/>
      <c r="H236" s="566"/>
      <c r="I236" s="566"/>
      <c r="J236" s="566"/>
      <c r="K236" s="566"/>
      <c r="L236" s="566"/>
      <c r="M236" s="566"/>
      <c r="N236" s="567"/>
      <c r="O236" s="566"/>
      <c r="P236" s="566"/>
      <c r="Q236" s="566"/>
      <c r="R236" s="566"/>
      <c r="S236" s="567"/>
      <c r="T236" s="567"/>
      <c r="U236" s="567"/>
      <c r="V236" s="567"/>
      <c r="W236" s="567"/>
      <c r="X236" s="567"/>
    </row>
    <row r="237" spans="3:24">
      <c r="C237" s="566"/>
      <c r="D237" s="566"/>
      <c r="E237" s="566"/>
      <c r="F237" s="566"/>
      <c r="G237" s="567"/>
      <c r="H237" s="566"/>
      <c r="I237" s="566"/>
      <c r="J237" s="566"/>
      <c r="K237" s="566"/>
      <c r="L237" s="566"/>
      <c r="M237" s="566"/>
      <c r="N237" s="567"/>
      <c r="O237" s="566"/>
      <c r="P237" s="566"/>
      <c r="Q237" s="566"/>
      <c r="R237" s="566"/>
      <c r="S237" s="567"/>
      <c r="T237" s="567"/>
      <c r="U237" s="567"/>
      <c r="V237" s="567"/>
      <c r="W237" s="567"/>
      <c r="X237" s="567"/>
    </row>
    <row r="238" spans="3:24">
      <c r="C238" s="566"/>
      <c r="D238" s="566"/>
      <c r="E238" s="566"/>
      <c r="F238" s="566"/>
      <c r="G238" s="567"/>
      <c r="H238" s="566"/>
      <c r="I238" s="566"/>
      <c r="J238" s="566"/>
      <c r="K238" s="566"/>
      <c r="L238" s="566"/>
      <c r="M238" s="566"/>
      <c r="N238" s="567"/>
      <c r="O238" s="566"/>
      <c r="P238" s="566"/>
      <c r="Q238" s="566"/>
      <c r="R238" s="566"/>
      <c r="S238" s="567"/>
      <c r="T238" s="567"/>
      <c r="U238" s="567"/>
      <c r="V238" s="567"/>
      <c r="W238" s="567"/>
      <c r="X238" s="567"/>
    </row>
    <row r="239" spans="3:24">
      <c r="C239" s="566"/>
      <c r="D239" s="566"/>
      <c r="E239" s="566"/>
      <c r="F239" s="566"/>
      <c r="G239" s="567"/>
      <c r="H239" s="566"/>
      <c r="I239" s="566"/>
      <c r="J239" s="566"/>
      <c r="K239" s="566"/>
      <c r="L239" s="566"/>
      <c r="M239" s="566"/>
      <c r="N239" s="567"/>
      <c r="O239" s="566"/>
      <c r="P239" s="566"/>
      <c r="Q239" s="566"/>
      <c r="R239" s="566"/>
      <c r="S239" s="567"/>
      <c r="T239" s="567"/>
      <c r="U239" s="567"/>
      <c r="V239" s="567"/>
      <c r="W239" s="567"/>
      <c r="X239" s="567"/>
    </row>
    <row r="240" spans="3:24">
      <c r="C240" s="566"/>
      <c r="D240" s="566"/>
      <c r="E240" s="566"/>
      <c r="F240" s="566"/>
      <c r="G240" s="567"/>
      <c r="H240" s="566"/>
      <c r="I240" s="566"/>
      <c r="J240" s="566"/>
      <c r="K240" s="566"/>
      <c r="L240" s="566"/>
      <c r="M240" s="566"/>
      <c r="N240" s="567"/>
      <c r="O240" s="566"/>
      <c r="P240" s="566"/>
      <c r="Q240" s="566"/>
      <c r="R240" s="566"/>
      <c r="S240" s="567"/>
      <c r="T240" s="567"/>
      <c r="U240" s="567"/>
      <c r="V240" s="567"/>
      <c r="W240" s="567"/>
      <c r="X240" s="567"/>
    </row>
    <row r="241" spans="3:24">
      <c r="C241" s="566"/>
      <c r="D241" s="566"/>
      <c r="E241" s="566"/>
      <c r="F241" s="566"/>
      <c r="G241" s="567"/>
      <c r="H241" s="566"/>
      <c r="I241" s="566"/>
      <c r="J241" s="566"/>
      <c r="K241" s="566"/>
      <c r="L241" s="566"/>
      <c r="M241" s="566"/>
      <c r="N241" s="567"/>
      <c r="O241" s="566"/>
      <c r="P241" s="566"/>
      <c r="Q241" s="566"/>
      <c r="R241" s="566"/>
      <c r="S241" s="567"/>
      <c r="T241" s="567"/>
      <c r="U241" s="567"/>
      <c r="V241" s="567"/>
      <c r="W241" s="567"/>
      <c r="X241" s="567"/>
    </row>
    <row r="242" spans="3:24">
      <c r="C242" s="566"/>
      <c r="D242" s="566"/>
      <c r="E242" s="566"/>
      <c r="F242" s="566"/>
      <c r="G242" s="567"/>
      <c r="H242" s="566"/>
      <c r="I242" s="566"/>
      <c r="J242" s="566"/>
      <c r="K242" s="566"/>
      <c r="L242" s="566"/>
      <c r="M242" s="566"/>
      <c r="N242" s="567"/>
      <c r="O242" s="566"/>
      <c r="P242" s="566"/>
      <c r="Q242" s="566"/>
      <c r="R242" s="566"/>
      <c r="S242" s="567"/>
      <c r="T242" s="567"/>
      <c r="U242" s="567"/>
      <c r="V242" s="567"/>
      <c r="W242" s="567"/>
      <c r="X242" s="567"/>
    </row>
    <row r="243" spans="3:24">
      <c r="C243" s="566"/>
      <c r="D243" s="566"/>
      <c r="E243" s="566"/>
      <c r="F243" s="566"/>
      <c r="G243" s="567"/>
      <c r="H243" s="566"/>
      <c r="I243" s="566"/>
      <c r="J243" s="566"/>
      <c r="K243" s="566"/>
      <c r="L243" s="566"/>
      <c r="M243" s="566"/>
      <c r="N243" s="567"/>
      <c r="O243" s="566"/>
      <c r="P243" s="566"/>
      <c r="Q243" s="566"/>
      <c r="R243" s="566"/>
      <c r="S243" s="567"/>
      <c r="T243" s="567"/>
      <c r="U243" s="567"/>
      <c r="V243" s="567"/>
      <c r="W243" s="567"/>
      <c r="X243" s="567"/>
    </row>
    <row r="244" spans="3:24">
      <c r="C244" s="566"/>
      <c r="D244" s="566"/>
      <c r="E244" s="566"/>
      <c r="F244" s="566"/>
      <c r="G244" s="567"/>
      <c r="H244" s="566"/>
      <c r="I244" s="566"/>
      <c r="J244" s="566"/>
      <c r="K244" s="566"/>
      <c r="L244" s="566"/>
      <c r="M244" s="566"/>
      <c r="N244" s="567"/>
      <c r="O244" s="566"/>
      <c r="P244" s="566"/>
      <c r="Q244" s="566"/>
      <c r="R244" s="566"/>
      <c r="S244" s="567"/>
      <c r="T244" s="567"/>
      <c r="U244" s="567"/>
      <c r="V244" s="567"/>
      <c r="W244" s="567"/>
      <c r="X244" s="567"/>
    </row>
    <row r="245" spans="3:24">
      <c r="C245" s="566"/>
      <c r="D245" s="566"/>
      <c r="E245" s="566"/>
      <c r="F245" s="566"/>
      <c r="G245" s="567"/>
      <c r="H245" s="566"/>
      <c r="I245" s="566"/>
      <c r="J245" s="566"/>
      <c r="K245" s="566"/>
      <c r="L245" s="566"/>
      <c r="M245" s="566"/>
      <c r="N245" s="567"/>
      <c r="O245" s="566"/>
      <c r="P245" s="566"/>
      <c r="Q245" s="566"/>
      <c r="R245" s="566"/>
      <c r="S245" s="567"/>
      <c r="T245" s="567"/>
      <c r="U245" s="567"/>
      <c r="V245" s="567"/>
      <c r="W245" s="567"/>
      <c r="X245" s="567"/>
    </row>
    <row r="246" spans="3:24">
      <c r="C246" s="566"/>
      <c r="D246" s="566"/>
      <c r="E246" s="566"/>
      <c r="F246" s="566"/>
      <c r="G246" s="567"/>
      <c r="H246" s="566"/>
      <c r="I246" s="566"/>
      <c r="J246" s="566"/>
      <c r="K246" s="566"/>
      <c r="L246" s="566"/>
      <c r="M246" s="566"/>
      <c r="N246" s="567"/>
      <c r="O246" s="566"/>
      <c r="P246" s="566"/>
      <c r="Q246" s="566"/>
      <c r="R246" s="566"/>
      <c r="S246" s="567"/>
      <c r="T246" s="567"/>
      <c r="U246" s="567"/>
      <c r="V246" s="567"/>
      <c r="W246" s="567"/>
      <c r="X246" s="567"/>
    </row>
    <row r="247" spans="3:24">
      <c r="C247" s="566"/>
      <c r="D247" s="566"/>
      <c r="E247" s="566"/>
      <c r="F247" s="566"/>
      <c r="G247" s="567"/>
      <c r="H247" s="566"/>
      <c r="I247" s="566"/>
      <c r="J247" s="566"/>
      <c r="K247" s="566"/>
      <c r="L247" s="566"/>
      <c r="M247" s="566"/>
      <c r="N247" s="567"/>
      <c r="O247" s="566"/>
      <c r="P247" s="566"/>
      <c r="Q247" s="566"/>
      <c r="R247" s="566"/>
      <c r="S247" s="567"/>
      <c r="T247" s="567"/>
      <c r="U247" s="567"/>
      <c r="V247" s="567"/>
      <c r="W247" s="567"/>
      <c r="X247" s="567"/>
    </row>
    <row r="248" spans="3:24">
      <c r="C248" s="566"/>
      <c r="D248" s="566"/>
      <c r="E248" s="566"/>
      <c r="F248" s="566"/>
      <c r="G248" s="567"/>
      <c r="H248" s="566"/>
      <c r="I248" s="566"/>
      <c r="J248" s="566"/>
      <c r="K248" s="566"/>
      <c r="L248" s="566"/>
      <c r="M248" s="566"/>
      <c r="N248" s="567"/>
      <c r="O248" s="566"/>
      <c r="P248" s="566"/>
      <c r="Q248" s="566"/>
      <c r="R248" s="566"/>
      <c r="S248" s="567"/>
      <c r="T248" s="567"/>
      <c r="U248" s="567"/>
      <c r="V248" s="567"/>
      <c r="W248" s="567"/>
      <c r="X248" s="567"/>
    </row>
    <row r="249" spans="3:24">
      <c r="C249" s="566"/>
      <c r="D249" s="566"/>
      <c r="E249" s="566"/>
      <c r="F249" s="566"/>
      <c r="G249" s="567"/>
      <c r="H249" s="566"/>
      <c r="I249" s="566"/>
      <c r="J249" s="566"/>
      <c r="K249" s="566"/>
      <c r="L249" s="566"/>
      <c r="M249" s="566"/>
      <c r="N249" s="567"/>
      <c r="O249" s="566"/>
      <c r="P249" s="566"/>
      <c r="Q249" s="566"/>
      <c r="R249" s="566"/>
      <c r="S249" s="567"/>
      <c r="T249" s="567"/>
      <c r="U249" s="567"/>
      <c r="V249" s="567"/>
      <c r="W249" s="567"/>
      <c r="X249" s="567"/>
    </row>
    <row r="250" spans="3:24">
      <c r="C250" s="566"/>
      <c r="D250" s="566"/>
      <c r="E250" s="566"/>
      <c r="F250" s="566"/>
      <c r="G250" s="567"/>
      <c r="H250" s="566"/>
      <c r="I250" s="566"/>
      <c r="J250" s="566"/>
      <c r="K250" s="566"/>
      <c r="L250" s="566"/>
      <c r="M250" s="566"/>
      <c r="N250" s="567"/>
      <c r="O250" s="566"/>
      <c r="P250" s="566"/>
      <c r="Q250" s="566"/>
      <c r="R250" s="566"/>
      <c r="S250" s="567"/>
      <c r="T250" s="567"/>
      <c r="U250" s="567"/>
      <c r="V250" s="567"/>
      <c r="W250" s="567"/>
      <c r="X250" s="567"/>
    </row>
    <row r="251" spans="3:24">
      <c r="C251" s="566"/>
      <c r="D251" s="566"/>
      <c r="E251" s="566"/>
      <c r="F251" s="566"/>
      <c r="G251" s="567"/>
      <c r="H251" s="566"/>
      <c r="I251" s="566"/>
      <c r="J251" s="566"/>
      <c r="K251" s="566"/>
      <c r="L251" s="566"/>
      <c r="M251" s="566"/>
      <c r="N251" s="567"/>
      <c r="O251" s="566"/>
      <c r="P251" s="566"/>
      <c r="Q251" s="566"/>
      <c r="R251" s="566"/>
      <c r="S251" s="567"/>
      <c r="T251" s="567"/>
      <c r="U251" s="567"/>
      <c r="V251" s="567"/>
      <c r="W251" s="567"/>
      <c r="X251" s="567"/>
    </row>
    <row r="252" spans="3:24">
      <c r="C252" s="566"/>
      <c r="D252" s="566"/>
      <c r="E252" s="566"/>
      <c r="F252" s="566"/>
      <c r="G252" s="567"/>
      <c r="H252" s="566"/>
      <c r="I252" s="566"/>
      <c r="J252" s="566"/>
      <c r="K252" s="566"/>
      <c r="L252" s="566"/>
      <c r="M252" s="566"/>
      <c r="N252" s="567"/>
      <c r="O252" s="566"/>
      <c r="P252" s="566"/>
      <c r="Q252" s="566"/>
      <c r="R252" s="566"/>
      <c r="S252" s="567"/>
      <c r="T252" s="567"/>
      <c r="U252" s="567"/>
      <c r="V252" s="567"/>
      <c r="W252" s="567"/>
      <c r="X252" s="567"/>
    </row>
    <row r="253" spans="3:24">
      <c r="C253" s="566"/>
      <c r="D253" s="566"/>
      <c r="E253" s="566"/>
      <c r="F253" s="566"/>
      <c r="G253" s="567"/>
      <c r="H253" s="566"/>
      <c r="I253" s="566"/>
      <c r="J253" s="566"/>
      <c r="K253" s="566"/>
      <c r="L253" s="566"/>
      <c r="M253" s="566"/>
      <c r="N253" s="567"/>
      <c r="O253" s="566"/>
      <c r="P253" s="566"/>
      <c r="Q253" s="566"/>
      <c r="R253" s="566"/>
      <c r="S253" s="567"/>
      <c r="T253" s="567"/>
      <c r="U253" s="567"/>
      <c r="V253" s="567"/>
      <c r="W253" s="567"/>
      <c r="X253" s="567"/>
    </row>
    <row r="254" spans="3:24">
      <c r="C254" s="566"/>
      <c r="D254" s="566"/>
      <c r="E254" s="566"/>
      <c r="F254" s="566"/>
      <c r="G254" s="567"/>
      <c r="H254" s="566"/>
      <c r="I254" s="566"/>
      <c r="J254" s="566"/>
      <c r="K254" s="566"/>
      <c r="L254" s="566"/>
      <c r="M254" s="566"/>
      <c r="N254" s="567"/>
      <c r="O254" s="566"/>
      <c r="P254" s="566"/>
      <c r="Q254" s="566"/>
      <c r="R254" s="566"/>
      <c r="S254" s="567"/>
      <c r="T254" s="567"/>
      <c r="U254" s="567"/>
      <c r="V254" s="567"/>
      <c r="W254" s="567"/>
      <c r="X254" s="567"/>
    </row>
    <row r="255" spans="3:24">
      <c r="C255" s="566"/>
      <c r="D255" s="566"/>
      <c r="E255" s="566"/>
      <c r="F255" s="566"/>
      <c r="G255" s="567"/>
      <c r="H255" s="566"/>
      <c r="I255" s="566"/>
      <c r="J255" s="566"/>
      <c r="K255" s="566"/>
      <c r="L255" s="566"/>
      <c r="M255" s="566"/>
      <c r="N255" s="567"/>
      <c r="O255" s="566"/>
      <c r="P255" s="566"/>
      <c r="Q255" s="566"/>
      <c r="R255" s="566"/>
      <c r="S255" s="567"/>
      <c r="T255" s="567"/>
      <c r="U255" s="567"/>
      <c r="V255" s="567"/>
      <c r="W255" s="567"/>
      <c r="X255" s="567"/>
    </row>
    <row r="256" spans="3:24">
      <c r="C256" s="566"/>
      <c r="D256" s="566"/>
      <c r="E256" s="566"/>
      <c r="F256" s="566"/>
      <c r="G256" s="567"/>
      <c r="H256" s="566"/>
      <c r="I256" s="566"/>
      <c r="J256" s="566"/>
      <c r="K256" s="566"/>
      <c r="L256" s="566"/>
      <c r="M256" s="566"/>
      <c r="N256" s="567"/>
      <c r="O256" s="566"/>
      <c r="P256" s="566"/>
      <c r="Q256" s="566"/>
      <c r="R256" s="566"/>
      <c r="S256" s="567"/>
      <c r="T256" s="567"/>
      <c r="U256" s="567"/>
      <c r="V256" s="567"/>
      <c r="W256" s="567"/>
      <c r="X256" s="567"/>
    </row>
    <row r="257" spans="3:24">
      <c r="C257" s="566"/>
      <c r="D257" s="566"/>
      <c r="E257" s="566"/>
      <c r="F257" s="566"/>
      <c r="G257" s="567"/>
      <c r="H257" s="566"/>
      <c r="I257" s="566"/>
      <c r="J257" s="566"/>
      <c r="K257" s="566"/>
      <c r="L257" s="566"/>
      <c r="M257" s="566"/>
      <c r="N257" s="567"/>
      <c r="O257" s="566"/>
      <c r="P257" s="566"/>
      <c r="Q257" s="566"/>
      <c r="R257" s="566"/>
      <c r="S257" s="567"/>
      <c r="T257" s="567"/>
      <c r="U257" s="567"/>
      <c r="V257" s="567"/>
      <c r="W257" s="567"/>
      <c r="X257" s="567"/>
    </row>
    <row r="258" spans="3:24">
      <c r="C258" s="566"/>
      <c r="D258" s="566"/>
      <c r="E258" s="566"/>
      <c r="F258" s="566"/>
      <c r="G258" s="567"/>
      <c r="H258" s="566"/>
      <c r="I258" s="566"/>
      <c r="J258" s="566"/>
      <c r="K258" s="566"/>
      <c r="L258" s="566"/>
      <c r="M258" s="566"/>
      <c r="N258" s="567"/>
      <c r="O258" s="566"/>
      <c r="P258" s="566"/>
      <c r="Q258" s="566"/>
      <c r="R258" s="566"/>
      <c r="S258" s="567"/>
      <c r="T258" s="567"/>
      <c r="U258" s="567"/>
      <c r="V258" s="567"/>
      <c r="W258" s="567"/>
      <c r="X258" s="567"/>
    </row>
    <row r="259" spans="3:24">
      <c r="C259" s="566"/>
      <c r="D259" s="566"/>
      <c r="E259" s="566"/>
      <c r="F259" s="566"/>
      <c r="G259" s="567"/>
      <c r="H259" s="566"/>
      <c r="I259" s="566"/>
      <c r="J259" s="566"/>
      <c r="K259" s="566"/>
      <c r="L259" s="566"/>
      <c r="M259" s="566"/>
      <c r="N259" s="567"/>
      <c r="O259" s="566"/>
      <c r="P259" s="566"/>
      <c r="Q259" s="566"/>
      <c r="R259" s="566"/>
      <c r="S259" s="567"/>
      <c r="T259" s="567"/>
      <c r="U259" s="567"/>
      <c r="V259" s="567"/>
      <c r="W259" s="567"/>
      <c r="X259" s="567"/>
    </row>
    <row r="260" spans="3:24">
      <c r="C260" s="566"/>
      <c r="D260" s="566"/>
      <c r="E260" s="566"/>
      <c r="F260" s="566"/>
      <c r="G260" s="567"/>
      <c r="H260" s="566"/>
      <c r="I260" s="566"/>
      <c r="J260" s="566"/>
      <c r="K260" s="566"/>
      <c r="L260" s="566"/>
      <c r="M260" s="566"/>
      <c r="N260" s="567"/>
      <c r="O260" s="566"/>
      <c r="P260" s="566"/>
      <c r="Q260" s="566"/>
      <c r="R260" s="566"/>
      <c r="S260" s="567"/>
      <c r="T260" s="567"/>
      <c r="U260" s="567"/>
      <c r="V260" s="567"/>
      <c r="W260" s="567"/>
      <c r="X260" s="567"/>
    </row>
    <row r="261" spans="3:24">
      <c r="C261" s="566"/>
      <c r="D261" s="566"/>
      <c r="E261" s="566"/>
      <c r="F261" s="566"/>
      <c r="G261" s="567"/>
      <c r="H261" s="566"/>
      <c r="I261" s="566"/>
      <c r="J261" s="566"/>
      <c r="K261" s="566"/>
      <c r="L261" s="566"/>
      <c r="M261" s="566"/>
      <c r="N261" s="567"/>
      <c r="O261" s="566"/>
      <c r="P261" s="566"/>
      <c r="Q261" s="566"/>
      <c r="R261" s="566"/>
      <c r="S261" s="567"/>
      <c r="T261" s="567"/>
      <c r="U261" s="567"/>
      <c r="V261" s="567"/>
      <c r="W261" s="567"/>
      <c r="X261" s="567"/>
    </row>
    <row r="262" spans="3:24">
      <c r="C262" s="566"/>
      <c r="D262" s="566"/>
      <c r="E262" s="566"/>
      <c r="F262" s="566"/>
      <c r="G262" s="567"/>
      <c r="H262" s="566"/>
      <c r="I262" s="566"/>
      <c r="J262" s="566"/>
      <c r="K262" s="566"/>
      <c r="L262" s="566"/>
      <c r="M262" s="566"/>
      <c r="N262" s="567"/>
      <c r="O262" s="566"/>
      <c r="P262" s="566"/>
      <c r="Q262" s="566"/>
      <c r="R262" s="566"/>
      <c r="S262" s="567"/>
      <c r="T262" s="567"/>
      <c r="U262" s="567"/>
      <c r="V262" s="567"/>
      <c r="W262" s="567"/>
      <c r="X262" s="567"/>
    </row>
    <row r="263" spans="3:24">
      <c r="C263" s="566"/>
      <c r="D263" s="566"/>
      <c r="E263" s="566"/>
      <c r="F263" s="566"/>
      <c r="G263" s="567"/>
      <c r="H263" s="566"/>
      <c r="I263" s="566"/>
      <c r="J263" s="566"/>
      <c r="K263" s="566"/>
      <c r="L263" s="566"/>
      <c r="M263" s="566"/>
      <c r="N263" s="567"/>
      <c r="O263" s="566"/>
      <c r="P263" s="566"/>
      <c r="Q263" s="566"/>
      <c r="R263" s="566"/>
      <c r="S263" s="567"/>
      <c r="T263" s="567"/>
      <c r="U263" s="567"/>
      <c r="V263" s="567"/>
      <c r="W263" s="567"/>
      <c r="X263" s="567"/>
    </row>
    <row r="264" spans="3:24">
      <c r="C264" s="566"/>
      <c r="D264" s="566"/>
      <c r="E264" s="566"/>
      <c r="F264" s="566"/>
      <c r="G264" s="567"/>
      <c r="H264" s="566"/>
      <c r="I264" s="566"/>
      <c r="J264" s="566"/>
      <c r="K264" s="566"/>
      <c r="L264" s="566"/>
      <c r="M264" s="566"/>
      <c r="N264" s="567"/>
      <c r="O264" s="566"/>
      <c r="P264" s="566"/>
      <c r="Q264" s="566"/>
      <c r="R264" s="566"/>
      <c r="S264" s="567"/>
      <c r="T264" s="567"/>
      <c r="U264" s="567"/>
      <c r="V264" s="567"/>
      <c r="W264" s="567"/>
      <c r="X264" s="567"/>
    </row>
    <row r="265" spans="3:24">
      <c r="C265" s="566"/>
      <c r="D265" s="566"/>
      <c r="E265" s="566"/>
      <c r="F265" s="566"/>
      <c r="G265" s="567"/>
      <c r="H265" s="566"/>
      <c r="I265" s="566"/>
      <c r="J265" s="566"/>
      <c r="K265" s="566"/>
      <c r="L265" s="566"/>
      <c r="M265" s="566"/>
      <c r="N265" s="567"/>
      <c r="O265" s="566"/>
      <c r="P265" s="566"/>
      <c r="Q265" s="566"/>
      <c r="R265" s="566"/>
      <c r="S265" s="567"/>
      <c r="T265" s="567"/>
      <c r="U265" s="567"/>
      <c r="V265" s="567"/>
      <c r="W265" s="567"/>
      <c r="X265" s="567"/>
    </row>
    <row r="266" spans="3:24">
      <c r="C266" s="566"/>
      <c r="D266" s="566"/>
      <c r="E266" s="566"/>
      <c r="F266" s="566"/>
      <c r="G266" s="567"/>
      <c r="H266" s="566"/>
      <c r="I266" s="566"/>
      <c r="J266" s="566"/>
      <c r="K266" s="566"/>
      <c r="L266" s="566"/>
      <c r="M266" s="566"/>
      <c r="N266" s="567"/>
      <c r="O266" s="566"/>
      <c r="P266" s="566"/>
      <c r="Q266" s="566"/>
      <c r="R266" s="566"/>
      <c r="S266" s="567"/>
      <c r="T266" s="567"/>
      <c r="U266" s="567"/>
      <c r="V266" s="567"/>
      <c r="W266" s="567"/>
      <c r="X266" s="567"/>
    </row>
    <row r="267" spans="3:24">
      <c r="C267" s="566"/>
      <c r="D267" s="566"/>
      <c r="E267" s="566"/>
      <c r="F267" s="566"/>
      <c r="G267" s="567"/>
      <c r="H267" s="566"/>
      <c r="I267" s="566"/>
      <c r="J267" s="566"/>
      <c r="K267" s="566"/>
      <c r="L267" s="566"/>
      <c r="M267" s="566"/>
      <c r="N267" s="567"/>
      <c r="O267" s="566"/>
      <c r="P267" s="566"/>
      <c r="Q267" s="566"/>
      <c r="R267" s="566"/>
      <c r="S267" s="567"/>
      <c r="T267" s="567"/>
      <c r="U267" s="567"/>
      <c r="V267" s="567"/>
      <c r="W267" s="567"/>
      <c r="X267" s="567"/>
    </row>
    <row r="268" spans="3:24">
      <c r="C268" s="566"/>
      <c r="D268" s="566"/>
      <c r="E268" s="566"/>
      <c r="F268" s="566"/>
      <c r="G268" s="567"/>
      <c r="H268" s="566"/>
      <c r="I268" s="566"/>
      <c r="J268" s="566"/>
      <c r="K268" s="566"/>
      <c r="L268" s="566"/>
      <c r="M268" s="566"/>
      <c r="N268" s="567"/>
      <c r="O268" s="566"/>
      <c r="P268" s="566"/>
      <c r="Q268" s="566"/>
      <c r="R268" s="566"/>
      <c r="S268" s="567"/>
      <c r="T268" s="567"/>
      <c r="U268" s="567"/>
      <c r="V268" s="567"/>
      <c r="W268" s="567"/>
      <c r="X268" s="567"/>
    </row>
  </sheetData>
  <mergeCells count="26">
    <mergeCell ref="W3:X6"/>
    <mergeCell ref="A1:R1"/>
    <mergeCell ref="A3:A7"/>
    <mergeCell ref="B3:B7"/>
    <mergeCell ref="C3:C7"/>
    <mergeCell ref="E3:E7"/>
    <mergeCell ref="F3:R3"/>
    <mergeCell ref="R6:R7"/>
    <mergeCell ref="F4:L5"/>
    <mergeCell ref="M4:R5"/>
    <mergeCell ref="S3:S7"/>
    <mergeCell ref="T3:U6"/>
    <mergeCell ref="V3:V7"/>
    <mergeCell ref="A32:A33"/>
    <mergeCell ref="H6:H7"/>
    <mergeCell ref="Q6:Q7"/>
    <mergeCell ref="K6:K7"/>
    <mergeCell ref="I6:I7"/>
    <mergeCell ref="J6:J7"/>
    <mergeCell ref="O6:O7"/>
    <mergeCell ref="P6:P7"/>
    <mergeCell ref="F6:F7"/>
    <mergeCell ref="G6:G7"/>
    <mergeCell ref="L6:L7"/>
    <mergeCell ref="M6:M7"/>
    <mergeCell ref="N6:N7"/>
  </mergeCells>
  <pageMargins left="0" right="0" top="0.35433070866141736" bottom="0.15748031496062992" header="0.31496062992125984" footer="0.31496062992125984"/>
  <pageSetup paperSize="9" scale="72" orientation="landscape" verticalDpi="0"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2"/>
  <sheetViews>
    <sheetView topLeftCell="A25" workbookViewId="0">
      <selection activeCell="C4" sqref="C4:J4"/>
    </sheetView>
  </sheetViews>
  <sheetFormatPr defaultColWidth="9.140625" defaultRowHeight="16.5"/>
  <cols>
    <col min="1" max="1" width="5.140625" style="580" customWidth="1"/>
    <col min="2" max="2" width="44" style="580" customWidth="1"/>
    <col min="3" max="3" width="12.140625" style="580" hidden="1" customWidth="1"/>
    <col min="4" max="4" width="11.7109375" style="580" hidden="1" customWidth="1"/>
    <col min="5" max="5" width="11.7109375" style="580" customWidth="1"/>
    <col min="6" max="6" width="11.85546875" style="580" customWidth="1"/>
    <col min="7" max="7" width="11.5703125" style="580" customWidth="1"/>
    <col min="8" max="8" width="10.85546875" style="580" customWidth="1"/>
    <col min="9" max="9" width="9.140625" style="580"/>
    <col min="10" max="11" width="14.5703125" style="580" bestFit="1" customWidth="1"/>
    <col min="12" max="12" width="11.28515625" style="580" bestFit="1" customWidth="1"/>
    <col min="13" max="13" width="17.7109375" style="580" customWidth="1"/>
    <col min="14" max="14" width="14.5703125" style="580" bestFit="1" customWidth="1"/>
    <col min="15" max="16384" width="9.140625" style="580"/>
  </cols>
  <sheetData>
    <row r="1" spans="1:14" ht="28.5" customHeight="1">
      <c r="A1" s="1015" t="s">
        <v>695</v>
      </c>
      <c r="B1" s="1015"/>
      <c r="C1" s="1015"/>
      <c r="D1" s="1015"/>
      <c r="E1" s="1015"/>
      <c r="F1" s="1015"/>
      <c r="G1" s="1015"/>
      <c r="H1" s="1015"/>
    </row>
    <row r="2" spans="1:14" ht="42.75" customHeight="1">
      <c r="A2" s="1088" t="s">
        <v>696</v>
      </c>
      <c r="B2" s="1088"/>
      <c r="C2" s="1088"/>
      <c r="D2" s="1088"/>
      <c r="E2" s="1088"/>
      <c r="F2" s="1088"/>
      <c r="G2" s="1088"/>
      <c r="H2" s="1088"/>
    </row>
    <row r="3" spans="1:14" ht="15.75" customHeight="1">
      <c r="A3" s="1026"/>
      <c r="B3" s="1026"/>
      <c r="C3" s="1026"/>
      <c r="D3" s="1026"/>
      <c r="E3" s="1026"/>
      <c r="F3" s="1026"/>
      <c r="G3" s="1026"/>
      <c r="H3" s="1026"/>
    </row>
    <row r="4" spans="1:14" ht="16.5" customHeight="1" thickBot="1">
      <c r="A4" s="1089" t="s">
        <v>199</v>
      </c>
      <c r="B4" s="1089"/>
      <c r="C4" s="1089"/>
      <c r="D4" s="1089"/>
      <c r="E4" s="1089"/>
      <c r="F4" s="1089"/>
      <c r="G4" s="1089"/>
      <c r="H4" s="1089"/>
    </row>
    <row r="5" spans="1:14" ht="66.75" customHeight="1" thickBot="1">
      <c r="A5" s="610" t="s">
        <v>11</v>
      </c>
      <c r="B5" s="690" t="s">
        <v>289</v>
      </c>
      <c r="C5" s="690" t="s">
        <v>400</v>
      </c>
      <c r="D5" s="690" t="s">
        <v>641</v>
      </c>
      <c r="E5" s="690" t="s">
        <v>405</v>
      </c>
      <c r="F5" s="690" t="s">
        <v>697</v>
      </c>
      <c r="G5" s="690" t="s">
        <v>698</v>
      </c>
      <c r="H5" s="690" t="s">
        <v>699</v>
      </c>
    </row>
    <row r="6" spans="1:14" ht="21" customHeight="1" thickBot="1">
      <c r="A6" s="689" t="s">
        <v>12</v>
      </c>
      <c r="B6" s="581" t="s">
        <v>13</v>
      </c>
      <c r="C6" s="581">
        <v>1</v>
      </c>
      <c r="D6" s="581">
        <v>2</v>
      </c>
      <c r="E6" s="581">
        <v>1</v>
      </c>
      <c r="F6" s="581">
        <v>2</v>
      </c>
      <c r="G6" s="581">
        <v>3</v>
      </c>
      <c r="H6" s="581" t="s">
        <v>762</v>
      </c>
    </row>
    <row r="7" spans="1:14" ht="27.75" customHeight="1">
      <c r="A7" s="600" t="s">
        <v>12</v>
      </c>
      <c r="B7" s="601" t="s">
        <v>700</v>
      </c>
      <c r="C7" s="712"/>
      <c r="D7" s="712"/>
      <c r="E7" s="712"/>
      <c r="F7" s="712"/>
      <c r="G7" s="712"/>
      <c r="H7" s="712"/>
    </row>
    <row r="8" spans="1:14" ht="25.5" customHeight="1">
      <c r="A8" s="602" t="s">
        <v>17</v>
      </c>
      <c r="B8" s="603" t="s">
        <v>701</v>
      </c>
      <c r="C8" s="706" t="e">
        <f>C9+C10+C13+C14+C15</f>
        <v>#REF!</v>
      </c>
      <c r="D8" s="705" t="e">
        <f t="shared" ref="D8:H8" si="0">D9+D10+D13+D14+D15</f>
        <v>#REF!</v>
      </c>
      <c r="E8" s="705">
        <f>F8+G8+H8</f>
        <v>50877008</v>
      </c>
      <c r="F8" s="705">
        <f t="shared" si="0"/>
        <v>16571341</v>
      </c>
      <c r="G8" s="705">
        <f>G9+G10+G13+G14+G15</f>
        <v>16637224</v>
      </c>
      <c r="H8" s="705">
        <f t="shared" si="0"/>
        <v>17668443</v>
      </c>
      <c r="J8" s="621">
        <f>G17+G31</f>
        <v>21272368</v>
      </c>
      <c r="K8" s="621">
        <f>H17+H31</f>
        <v>22780557</v>
      </c>
      <c r="M8" s="714">
        <f>G9+G25+G12+G15+G22</f>
        <v>21272368</v>
      </c>
      <c r="N8" s="714">
        <f>H9+H12+H15+H22+H25</f>
        <v>22780557</v>
      </c>
    </row>
    <row r="9" spans="1:14" ht="32.25" customHeight="1">
      <c r="A9" s="604">
        <v>1</v>
      </c>
      <c r="B9" s="605" t="s">
        <v>630</v>
      </c>
      <c r="C9" s="697" t="e">
        <f>'Biểu 47'!#REF!</f>
        <v>#REF!</v>
      </c>
      <c r="D9" s="697" t="e">
        <f>'Biểu 47'!#REF!</f>
        <v>#REF!</v>
      </c>
      <c r="E9" s="697">
        <f>F9+G9+H9</f>
        <v>35262613</v>
      </c>
      <c r="F9" s="697">
        <f>'Bieu 9'!E9</f>
        <v>10261342</v>
      </c>
      <c r="G9" s="697">
        <f>'Bieu 9'!F9</f>
        <v>11570583</v>
      </c>
      <c r="H9" s="697">
        <f>'Bieu 9'!G9</f>
        <v>13430688</v>
      </c>
      <c r="K9" s="580">
        <v>453719</v>
      </c>
      <c r="L9" s="580">
        <v>397852</v>
      </c>
    </row>
    <row r="10" spans="1:14" ht="18.75" customHeight="1">
      <c r="A10" s="604">
        <v>2</v>
      </c>
      <c r="B10" s="605" t="s">
        <v>631</v>
      </c>
      <c r="C10" s="697" t="e">
        <f>C11+C12</f>
        <v>#REF!</v>
      </c>
      <c r="D10" s="697" t="e">
        <f t="shared" ref="D10:H10" si="1">D11+D12</f>
        <v>#REF!</v>
      </c>
      <c r="E10" s="697">
        <f t="shared" ref="E10:E36" si="2">F10+G10+H10</f>
        <v>8158070</v>
      </c>
      <c r="F10" s="697">
        <f t="shared" si="1"/>
        <v>2464674</v>
      </c>
      <c r="G10" s="697">
        <f t="shared" si="1"/>
        <v>2711141</v>
      </c>
      <c r="H10" s="697">
        <f t="shared" si="1"/>
        <v>2982255</v>
      </c>
      <c r="K10" s="621">
        <f>K9-G22</f>
        <v>0</v>
      </c>
      <c r="L10" s="621">
        <f>L9-H22</f>
        <v>-25000</v>
      </c>
    </row>
    <row r="11" spans="1:14" ht="20.25" customHeight="1">
      <c r="A11" s="604" t="s">
        <v>257</v>
      </c>
      <c r="B11" s="605" t="s">
        <v>579</v>
      </c>
      <c r="C11" s="697"/>
      <c r="D11" s="697"/>
      <c r="E11" s="697">
        <f t="shared" si="2"/>
        <v>0</v>
      </c>
      <c r="F11" s="697"/>
      <c r="G11" s="697"/>
      <c r="H11" s="697"/>
      <c r="K11" s="621">
        <f>G12-F12</f>
        <v>246467</v>
      </c>
      <c r="L11" s="621">
        <f>H12-F12</f>
        <v>517581</v>
      </c>
    </row>
    <row r="12" spans="1:14" ht="16.5" customHeight="1">
      <c r="A12" s="604" t="s">
        <v>257</v>
      </c>
      <c r="B12" s="605" t="s">
        <v>580</v>
      </c>
      <c r="C12" s="697" t="e">
        <f>'Biểu 47'!#REF!</f>
        <v>#REF!</v>
      </c>
      <c r="D12" s="697" t="e">
        <f>'Biểu 47'!#REF!</f>
        <v>#REF!</v>
      </c>
      <c r="E12" s="697">
        <f t="shared" si="2"/>
        <v>8158070</v>
      </c>
      <c r="F12" s="697">
        <f>'Bieu 9'!E12</f>
        <v>2464674</v>
      </c>
      <c r="G12" s="697">
        <f>'Bieu 9'!F12</f>
        <v>2711141</v>
      </c>
      <c r="H12" s="697">
        <f>'Bieu 9'!G12</f>
        <v>2982255</v>
      </c>
    </row>
    <row r="13" spans="1:14" ht="20.25" customHeight="1">
      <c r="A13" s="604">
        <v>3</v>
      </c>
      <c r="B13" s="605" t="s">
        <v>581</v>
      </c>
      <c r="C13" s="697"/>
      <c r="D13" s="697"/>
      <c r="E13" s="697">
        <f t="shared" si="2"/>
        <v>0</v>
      </c>
      <c r="F13" s="697"/>
      <c r="G13" s="697"/>
      <c r="H13" s="697"/>
    </row>
    <row r="14" spans="1:14" ht="20.25" customHeight="1">
      <c r="A14" s="604">
        <v>4</v>
      </c>
      <c r="B14" s="605" t="s">
        <v>582</v>
      </c>
      <c r="C14" s="697"/>
      <c r="D14" s="697"/>
      <c r="E14" s="697">
        <f t="shared" si="2"/>
        <v>0</v>
      </c>
      <c r="F14" s="697"/>
      <c r="G14" s="697"/>
      <c r="H14" s="697"/>
    </row>
    <row r="15" spans="1:14" ht="20.25" customHeight="1">
      <c r="A15" s="604">
        <v>5</v>
      </c>
      <c r="B15" s="605" t="s">
        <v>583</v>
      </c>
      <c r="C15" s="697" t="e">
        <f>'Biểu 47'!#REF!</f>
        <v>#REF!</v>
      </c>
      <c r="D15" s="697" t="e">
        <f>'Biểu 47'!#REF!</f>
        <v>#REF!</v>
      </c>
      <c r="E15" s="697">
        <f t="shared" si="2"/>
        <v>7456325</v>
      </c>
      <c r="F15" s="697">
        <f>'Bieu 9'!E15</f>
        <v>3845325</v>
      </c>
      <c r="G15" s="697">
        <f>(F15-'ngay 27-11'!V8)-175000</f>
        <v>2355500</v>
      </c>
      <c r="H15" s="697">
        <f>G15-1100000</f>
        <v>1255500</v>
      </c>
    </row>
    <row r="16" spans="1:14" ht="20.25" customHeight="1">
      <c r="A16" s="602" t="s">
        <v>18</v>
      </c>
      <c r="B16" s="603" t="s">
        <v>632</v>
      </c>
      <c r="C16" s="705" t="e">
        <f>C17+C18+C21</f>
        <v>#REF!</v>
      </c>
      <c r="D16" s="705" t="e">
        <f t="shared" ref="D16:G16" si="3">D17+D18+D21</f>
        <v>#REF!</v>
      </c>
      <c r="E16" s="705">
        <f t="shared" si="2"/>
        <v>51829878</v>
      </c>
      <c r="F16" s="705">
        <f>F17+F18+F21</f>
        <v>16647640</v>
      </c>
      <c r="G16" s="705">
        <f t="shared" si="3"/>
        <v>17090943</v>
      </c>
      <c r="H16" s="705">
        <f>H17+H18+H21</f>
        <v>18091295</v>
      </c>
      <c r="K16" s="621">
        <f>H16-'Bieu 10'!G7</f>
        <v>0</v>
      </c>
    </row>
    <row r="17" spans="1:13" ht="20.25" customHeight="1">
      <c r="A17" s="604">
        <v>1</v>
      </c>
      <c r="B17" s="605" t="s">
        <v>654</v>
      </c>
      <c r="C17" s="697" t="e">
        <f>'Biểu 47'!#REF!</f>
        <v>#REF!</v>
      </c>
      <c r="D17" s="697" t="e">
        <f>'Biểu 47'!#REF!</f>
        <v>#REF!</v>
      </c>
      <c r="E17" s="697">
        <f t="shared" si="2"/>
        <v>36234268</v>
      </c>
      <c r="F17" s="697">
        <f>'Bieu 9'!E17</f>
        <v>11496917</v>
      </c>
      <c r="G17" s="697">
        <f>'Bieu 9'!F17</f>
        <v>11892723</v>
      </c>
      <c r="H17" s="697">
        <f>'Bieu 9'!G17</f>
        <v>12844628</v>
      </c>
      <c r="J17" s="621">
        <f>G8-G16</f>
        <v>-453719</v>
      </c>
      <c r="K17" s="621">
        <f>H8-H16</f>
        <v>-422852</v>
      </c>
    </row>
    <row r="18" spans="1:13" ht="20.25" customHeight="1">
      <c r="A18" s="604">
        <v>2</v>
      </c>
      <c r="B18" s="605" t="s">
        <v>633</v>
      </c>
      <c r="C18" s="697" t="e">
        <f>C19+C20</f>
        <v>#REF!</v>
      </c>
      <c r="D18" s="697" t="e">
        <f t="shared" ref="D18:H18" si="4">D19+D20</f>
        <v>#REF!</v>
      </c>
      <c r="E18" s="697">
        <f t="shared" si="2"/>
        <v>15595610</v>
      </c>
      <c r="F18" s="697">
        <f t="shared" si="4"/>
        <v>5150723</v>
      </c>
      <c r="G18" s="697">
        <f t="shared" si="4"/>
        <v>5198220</v>
      </c>
      <c r="H18" s="697">
        <f t="shared" si="4"/>
        <v>5246667</v>
      </c>
    </row>
    <row r="19" spans="1:13" ht="20.25" customHeight="1">
      <c r="A19" s="604" t="s">
        <v>257</v>
      </c>
      <c r="B19" s="605" t="s">
        <v>634</v>
      </c>
      <c r="C19" s="697" t="e">
        <f>'Biểu 47'!#REF!</f>
        <v>#REF!</v>
      </c>
      <c r="D19" s="697" t="e">
        <f>'Biểu 47'!#REF!</f>
        <v>#REF!</v>
      </c>
      <c r="E19" s="697">
        <f t="shared" si="2"/>
        <v>8327547</v>
      </c>
      <c r="F19" s="697">
        <f>'Bieu 9'!E19</f>
        <v>2775849</v>
      </c>
      <c r="G19" s="697">
        <f>'Bieu 9'!F19</f>
        <v>2775849</v>
      </c>
      <c r="H19" s="697">
        <f>'Bieu 9'!G19</f>
        <v>2775849</v>
      </c>
    </row>
    <row r="20" spans="1:13" ht="20.25" customHeight="1">
      <c r="A20" s="604" t="s">
        <v>257</v>
      </c>
      <c r="B20" s="605" t="s">
        <v>635</v>
      </c>
      <c r="C20" s="697" t="e">
        <f>'Biểu 47'!#REF!</f>
        <v>#REF!</v>
      </c>
      <c r="D20" s="697" t="e">
        <f>'Biểu 47'!#REF!</f>
        <v>#REF!</v>
      </c>
      <c r="E20" s="697">
        <f t="shared" si="2"/>
        <v>7268063</v>
      </c>
      <c r="F20" s="697">
        <f>'Bieu 9'!E20</f>
        <v>2374874</v>
      </c>
      <c r="G20" s="697">
        <f>'Bieu 9'!F20</f>
        <v>2422371</v>
      </c>
      <c r="H20" s="697">
        <f>'Bieu 9'!G20</f>
        <v>2470818</v>
      </c>
    </row>
    <row r="21" spans="1:13" ht="20.25" customHeight="1">
      <c r="A21" s="604">
        <v>3</v>
      </c>
      <c r="B21" s="605" t="s">
        <v>587</v>
      </c>
      <c r="C21" s="697" t="e">
        <f>'Biểu 47'!#REF!</f>
        <v>#REF!</v>
      </c>
      <c r="D21" s="697" t="e">
        <f>'Biểu 47'!#REF!</f>
        <v>#REF!</v>
      </c>
      <c r="E21" s="697">
        <f t="shared" si="2"/>
        <v>0</v>
      </c>
      <c r="F21" s="697">
        <f>'Biểu 47'!C24</f>
        <v>0</v>
      </c>
      <c r="G21" s="697"/>
      <c r="H21" s="697"/>
    </row>
    <row r="22" spans="1:13" ht="31.5" customHeight="1">
      <c r="A22" s="602" t="s">
        <v>196</v>
      </c>
      <c r="B22" s="603" t="s">
        <v>702</v>
      </c>
      <c r="C22" s="705" t="e">
        <f>C16-C8</f>
        <v>#REF!</v>
      </c>
      <c r="D22" s="705" t="e">
        <f>D16-D8</f>
        <v>#REF!</v>
      </c>
      <c r="E22" s="705">
        <f t="shared" si="2"/>
        <v>952871</v>
      </c>
      <c r="F22" s="705">
        <f>F16-F8+1</f>
        <v>76300</v>
      </c>
      <c r="G22" s="705">
        <f>G16-G8</f>
        <v>453719</v>
      </c>
      <c r="H22" s="705">
        <f>H16-H8</f>
        <v>422852</v>
      </c>
      <c r="M22" s="621">
        <f>F16-'10 sua'!D7</f>
        <v>0</v>
      </c>
    </row>
    <row r="23" spans="1:13" ht="31.5" customHeight="1">
      <c r="A23" s="602" t="s">
        <v>13</v>
      </c>
      <c r="B23" s="603" t="s">
        <v>650</v>
      </c>
      <c r="C23" s="697"/>
      <c r="D23" s="697"/>
      <c r="E23" s="697">
        <f t="shared" si="2"/>
        <v>0</v>
      </c>
      <c r="F23" s="697"/>
      <c r="G23" s="697"/>
      <c r="H23" s="697"/>
    </row>
    <row r="24" spans="1:13" ht="31.5" customHeight="1">
      <c r="A24" s="602" t="s">
        <v>17</v>
      </c>
      <c r="B24" s="603" t="s">
        <v>701</v>
      </c>
      <c r="C24" s="705" t="e">
        <f>C25+C26+C29+C30</f>
        <v>#REF!</v>
      </c>
      <c r="D24" s="705" t="e">
        <f t="shared" ref="D24:H24" si="5">D25+D26+D29+D30</f>
        <v>#REF!</v>
      </c>
      <c r="E24" s="705">
        <f t="shared" si="2"/>
        <v>27886527</v>
      </c>
      <c r="F24" s="705">
        <f t="shared" si="5"/>
        <v>8570953</v>
      </c>
      <c r="G24" s="705">
        <f t="shared" si="5"/>
        <v>9379645</v>
      </c>
      <c r="H24" s="705">
        <f t="shared" si="5"/>
        <v>9935929</v>
      </c>
    </row>
    <row r="25" spans="1:13" ht="31.5" customHeight="1">
      <c r="A25" s="604">
        <v>1</v>
      </c>
      <c r="B25" s="605" t="s">
        <v>630</v>
      </c>
      <c r="C25" s="697" t="e">
        <f>'Biểu 47'!#REF!</f>
        <v>#REF!</v>
      </c>
      <c r="D25" s="697" t="e">
        <f>'Biểu 47'!#REF!</f>
        <v>#REF!</v>
      </c>
      <c r="E25" s="697">
        <f t="shared" si="2"/>
        <v>12290917</v>
      </c>
      <c r="F25" s="697">
        <f>'Bieu 9'!E25</f>
        <v>3420230</v>
      </c>
      <c r="G25" s="697">
        <f>'Bieu 9'!F25</f>
        <v>4181425</v>
      </c>
      <c r="H25" s="697">
        <f>'Bieu 9'!G25</f>
        <v>4689262</v>
      </c>
    </row>
    <row r="26" spans="1:13" ht="31.5" customHeight="1">
      <c r="A26" s="604">
        <v>2</v>
      </c>
      <c r="B26" s="605" t="s">
        <v>631</v>
      </c>
      <c r="C26" s="697" t="e">
        <f>C27+C28</f>
        <v>#REF!</v>
      </c>
      <c r="D26" s="697" t="e">
        <f t="shared" ref="D26:H26" si="6">D27+D28</f>
        <v>#REF!</v>
      </c>
      <c r="E26" s="697">
        <f t="shared" si="2"/>
        <v>15595610</v>
      </c>
      <c r="F26" s="697">
        <f t="shared" si="6"/>
        <v>5150723</v>
      </c>
      <c r="G26" s="697">
        <f t="shared" si="6"/>
        <v>5198220</v>
      </c>
      <c r="H26" s="697">
        <f t="shared" si="6"/>
        <v>5246667</v>
      </c>
    </row>
    <row r="27" spans="1:13" ht="40.5" customHeight="1">
      <c r="A27" s="604" t="s">
        <v>257</v>
      </c>
      <c r="B27" s="605" t="s">
        <v>579</v>
      </c>
      <c r="C27" s="697" t="e">
        <f>C19</f>
        <v>#REF!</v>
      </c>
      <c r="D27" s="697" t="e">
        <f t="shared" ref="D27:H28" si="7">D19</f>
        <v>#REF!</v>
      </c>
      <c r="E27" s="697">
        <f t="shared" si="2"/>
        <v>8327547</v>
      </c>
      <c r="F27" s="697">
        <f>F19</f>
        <v>2775849</v>
      </c>
      <c r="G27" s="697">
        <f t="shared" si="7"/>
        <v>2775849</v>
      </c>
      <c r="H27" s="697">
        <f t="shared" si="7"/>
        <v>2775849</v>
      </c>
    </row>
    <row r="28" spans="1:13" ht="20.25" customHeight="1">
      <c r="A28" s="604" t="s">
        <v>257</v>
      </c>
      <c r="B28" s="605" t="s">
        <v>580</v>
      </c>
      <c r="C28" s="697" t="e">
        <f>C20</f>
        <v>#REF!</v>
      </c>
      <c r="D28" s="697" t="e">
        <f t="shared" si="7"/>
        <v>#REF!</v>
      </c>
      <c r="E28" s="697">
        <f t="shared" si="2"/>
        <v>7268063</v>
      </c>
      <c r="F28" s="697">
        <f t="shared" si="7"/>
        <v>2374874</v>
      </c>
      <c r="G28" s="697">
        <f t="shared" si="7"/>
        <v>2422371</v>
      </c>
      <c r="H28" s="697">
        <f t="shared" si="7"/>
        <v>2470818</v>
      </c>
    </row>
    <row r="29" spans="1:13" ht="20.25" customHeight="1">
      <c r="A29" s="604">
        <v>3</v>
      </c>
      <c r="B29" s="605" t="s">
        <v>582</v>
      </c>
      <c r="C29" s="697"/>
      <c r="D29" s="697"/>
      <c r="E29" s="697">
        <f t="shared" si="2"/>
        <v>0</v>
      </c>
      <c r="F29" s="697"/>
      <c r="G29" s="697"/>
      <c r="H29" s="697"/>
    </row>
    <row r="30" spans="1:13" ht="20.25" customHeight="1">
      <c r="A30" s="604">
        <v>4</v>
      </c>
      <c r="B30" s="605" t="s">
        <v>583</v>
      </c>
      <c r="C30" s="697" t="e">
        <f>'Biểu 47'!#REF!</f>
        <v>#REF!</v>
      </c>
      <c r="D30" s="697" t="e">
        <f>'Biểu 47'!#REF!</f>
        <v>#REF!</v>
      </c>
      <c r="E30" s="697">
        <f t="shared" si="2"/>
        <v>0</v>
      </c>
      <c r="F30" s="697">
        <f>'Biểu 47'!C34</f>
        <v>0</v>
      </c>
      <c r="G30" s="697">
        <v>0</v>
      </c>
      <c r="H30" s="697">
        <v>0</v>
      </c>
    </row>
    <row r="31" spans="1:13" ht="31.5" customHeight="1" thickBot="1">
      <c r="A31" s="602" t="s">
        <v>18</v>
      </c>
      <c r="B31" s="603" t="s">
        <v>632</v>
      </c>
      <c r="C31" s="705" t="e">
        <f>C24</f>
        <v>#REF!</v>
      </c>
      <c r="D31" s="705" t="e">
        <f t="shared" ref="D31:H31" si="8">D24</f>
        <v>#REF!</v>
      </c>
      <c r="E31" s="705">
        <f t="shared" si="2"/>
        <v>27886527</v>
      </c>
      <c r="F31" s="705">
        <f t="shared" si="8"/>
        <v>8570953</v>
      </c>
      <c r="G31" s="705">
        <f t="shared" si="8"/>
        <v>9379645</v>
      </c>
      <c r="H31" s="705">
        <f t="shared" si="8"/>
        <v>9935929</v>
      </c>
    </row>
    <row r="32" spans="1:13" ht="20.25" hidden="1" customHeight="1">
      <c r="A32" s="604">
        <v>1</v>
      </c>
      <c r="B32" s="605" t="s">
        <v>703</v>
      </c>
      <c r="C32" s="697"/>
      <c r="D32" s="697"/>
      <c r="E32" s="697">
        <f t="shared" si="2"/>
        <v>0</v>
      </c>
      <c r="F32" s="697"/>
      <c r="G32" s="697"/>
      <c r="H32" s="697"/>
    </row>
    <row r="33" spans="1:8" hidden="1">
      <c r="A33" s="604">
        <v>2</v>
      </c>
      <c r="B33" s="605" t="s">
        <v>633</v>
      </c>
      <c r="C33" s="697"/>
      <c r="D33" s="697"/>
      <c r="E33" s="697">
        <f t="shared" si="2"/>
        <v>0</v>
      </c>
      <c r="F33" s="697"/>
      <c r="G33" s="697"/>
      <c r="H33" s="697"/>
    </row>
    <row r="34" spans="1:8" hidden="1">
      <c r="A34" s="604" t="s">
        <v>257</v>
      </c>
      <c r="B34" s="605" t="s">
        <v>634</v>
      </c>
      <c r="C34" s="697"/>
      <c r="D34" s="697"/>
      <c r="E34" s="697">
        <f t="shared" si="2"/>
        <v>0</v>
      </c>
      <c r="F34" s="697"/>
      <c r="G34" s="697"/>
      <c r="H34" s="697"/>
    </row>
    <row r="35" spans="1:8" hidden="1">
      <c r="A35" s="604" t="s">
        <v>257</v>
      </c>
      <c r="B35" s="605" t="s">
        <v>635</v>
      </c>
      <c r="C35" s="697"/>
      <c r="D35" s="697"/>
      <c r="E35" s="697">
        <f t="shared" si="2"/>
        <v>0</v>
      </c>
      <c r="F35" s="697"/>
      <c r="G35" s="697"/>
      <c r="H35" s="697"/>
    </row>
    <row r="36" spans="1:8" ht="17.25" hidden="1" thickBot="1">
      <c r="A36" s="606">
        <v>3</v>
      </c>
      <c r="B36" s="611" t="s">
        <v>587</v>
      </c>
      <c r="C36" s="606"/>
      <c r="D36" s="606"/>
      <c r="E36" s="606">
        <f t="shared" si="2"/>
        <v>0</v>
      </c>
      <c r="F36" s="606"/>
      <c r="G36" s="606"/>
      <c r="H36" s="606"/>
    </row>
    <row r="37" spans="1:8">
      <c r="A37" s="1084"/>
      <c r="B37" s="1084"/>
      <c r="C37" s="1084"/>
      <c r="D37" s="1084"/>
      <c r="E37" s="1084"/>
      <c r="F37" s="1084"/>
      <c r="G37" s="1084"/>
      <c r="H37" s="1084"/>
    </row>
    <row r="38" spans="1:8">
      <c r="E38" s="803">
        <f>E17+E31</f>
        <v>64120795</v>
      </c>
      <c r="F38" s="803">
        <f>F17+F31</f>
        <v>20067870</v>
      </c>
      <c r="G38" s="803">
        <f>G17+G31</f>
        <v>21272368</v>
      </c>
      <c r="H38" s="803">
        <f>H17+H31</f>
        <v>22780557</v>
      </c>
    </row>
    <row r="49" ht="16.5" hidden="1" customHeight="1"/>
    <row r="53" ht="21" hidden="1" customHeight="1"/>
    <row r="54" ht="21" hidden="1" customHeight="1"/>
    <row r="55" ht="16.5" hidden="1" customHeight="1"/>
    <row r="56" ht="16.5"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47.25" hidden="1" customHeight="1"/>
    <row r="66" ht="16.5" hidden="1" customHeight="1"/>
    <row r="69" ht="16.5" hidden="1" customHeight="1"/>
    <row r="75" ht="16.5" hidden="1" customHeight="1"/>
    <row r="76" ht="16.5" hidden="1" customHeight="1"/>
    <row r="79" ht="16.5" hidden="1" customHeight="1"/>
    <row r="80" ht="16.5" hidden="1" customHeight="1"/>
    <row r="83" ht="66.75" customHeight="1"/>
    <row r="95" ht="16.5" hidden="1" customHeight="1"/>
    <row r="97" ht="16.5" hidden="1" customHeight="1"/>
    <row r="99" ht="16.5" hidden="1" customHeight="1"/>
    <row r="102" ht="16.5" hidden="1" customHeight="1"/>
    <row r="103" ht="16.5" hidden="1" customHeight="1"/>
    <row r="104" ht="16.5" hidden="1" customHeight="1"/>
    <row r="106" ht="16.5" hidden="1" customHeight="1"/>
    <row r="107" ht="16.5" hidden="1" customHeight="1"/>
    <row r="108" ht="16.5" hidden="1" customHeight="1"/>
    <row r="110" ht="16.5" hidden="1" customHeight="1"/>
    <row r="117" ht="16.5" hidden="1" customHeight="1"/>
    <row r="118" ht="16.5" hidden="1" customHeight="1"/>
    <row r="121" ht="16.5" hidden="1" customHeight="1"/>
    <row r="122" ht="16.5" hidden="1" customHeight="1"/>
    <row r="123" ht="16.5" hidden="1" customHeight="1"/>
    <row r="125" ht="16.5" hidden="1" customHeight="1"/>
    <row r="126" ht="16.5" hidden="1" customHeight="1"/>
    <row r="127" ht="16.5" hidden="1" customHeight="1"/>
    <row r="130" ht="16.5" hidden="1" customHeight="1"/>
    <row r="131" ht="16.5" hidden="1" customHeight="1"/>
    <row r="132" ht="16.5" hidden="1" customHeight="1"/>
    <row r="134" ht="16.5" hidden="1" customHeight="1"/>
    <row r="135" ht="16.5" hidden="1" customHeight="1"/>
    <row r="136" ht="16.5" hidden="1" customHeight="1"/>
    <row r="139" ht="16.5" hidden="1" customHeight="1"/>
    <row r="140" ht="16.5" hidden="1" customHeight="1"/>
    <row r="141" ht="16.5" hidden="1" customHeight="1"/>
    <row r="142" ht="16.5" hidden="1" customHeight="1"/>
    <row r="143" ht="16.5" hidden="1" customHeight="1"/>
    <row r="144" ht="31.5" hidden="1" customHeight="1"/>
    <row r="145" ht="31.5" hidden="1" customHeight="1"/>
    <row r="146" ht="33.75" hidden="1" customHeight="1"/>
    <row r="147" ht="33.75" hidden="1" customHeight="1"/>
    <row r="148" ht="33.75" hidden="1" customHeight="1"/>
    <row r="149" ht="31.5" hidden="1" customHeight="1"/>
    <row r="151" ht="16.5" hidden="1" customHeight="1"/>
    <row r="157" ht="16.5" hidden="1" customHeight="1"/>
    <row r="158" ht="16.5" hidden="1" customHeight="1"/>
    <row r="162" ht="16.5" hidden="1" customHeight="1"/>
    <row r="163" ht="16.5" hidden="1" customHeight="1"/>
    <row r="164" ht="16.5" hidden="1" customHeight="1"/>
    <row r="165" ht="16.5" hidden="1" customHeight="1"/>
    <row r="166" ht="16.5" hidden="1" customHeight="1"/>
    <row r="167" ht="16.5" hidden="1" customHeight="1"/>
    <row r="168" ht="16.5" hidden="1" customHeight="1"/>
    <row r="170" ht="16.5" hidden="1" customHeight="1"/>
    <row r="175" ht="26.25" customHeight="1"/>
    <row r="191" ht="16.5" hidden="1" customHeight="1"/>
    <row r="194" ht="16.5" hidden="1" customHeight="1"/>
    <row r="197" ht="16.5" hidden="1" customHeight="1"/>
    <row r="198" ht="16.5" hidden="1" customHeight="1"/>
    <row r="199" ht="16.5" hidden="1" customHeight="1"/>
    <row r="201" ht="16.5" hidden="1" customHeight="1"/>
    <row r="202" ht="16.5" hidden="1" customHeight="1"/>
    <row r="203" ht="16.5" hidden="1" customHeight="1"/>
    <row r="206" ht="16.5" hidden="1" customHeight="1"/>
    <row r="207" ht="16.5" hidden="1" customHeight="1"/>
    <row r="208" ht="16.5" hidden="1" customHeight="1"/>
    <row r="210" ht="16.5" hidden="1" customHeight="1"/>
    <row r="221" ht="16.5" hidden="1" customHeight="1"/>
    <row r="222" ht="16.5" hidden="1" customHeight="1"/>
    <row r="224" ht="16.5" hidden="1" customHeight="1"/>
    <row r="226" ht="16.5" hidden="1" customHeight="1"/>
    <row r="227" ht="16.5" hidden="1" customHeight="1"/>
    <row r="228" ht="16.5" hidden="1" customHeight="1"/>
    <row r="230" ht="16.5" hidden="1" customHeight="1"/>
    <row r="231" ht="16.5" hidden="1" customHeight="1"/>
    <row r="232" ht="16.5" hidden="1" customHeight="1"/>
  </sheetData>
  <mergeCells count="5">
    <mergeCell ref="A1:H1"/>
    <mergeCell ref="A2:H2"/>
    <mergeCell ref="A3:H3"/>
    <mergeCell ref="A4:H4"/>
    <mergeCell ref="A37:H37"/>
  </mergeCells>
  <pageMargins left="0.11811023622047245" right="0" top="0" bottom="0" header="0.31496062992125984" footer="0.31496062992125984"/>
  <pageSetup paperSize="9" orientation="portrait" verticalDpi="0"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V192"/>
  <sheetViews>
    <sheetView workbookViewId="0">
      <selection activeCell="C4" sqref="C4:J4"/>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3" width="12.140625" style="71" customWidth="1"/>
    <col min="14" max="15" width="9.140625" style="71"/>
    <col min="16" max="16" width="10.140625" style="71" bestFit="1" customWidth="1"/>
    <col min="17" max="16384" width="9.140625" style="71"/>
  </cols>
  <sheetData>
    <row r="2" spans="1:256" s="66" customFormat="1" ht="24" customHeight="1">
      <c r="A2" s="973" t="s">
        <v>159</v>
      </c>
      <c r="B2" s="973"/>
      <c r="C2" s="973"/>
      <c r="D2" s="973"/>
      <c r="E2" s="973"/>
      <c r="F2" s="973"/>
      <c r="G2" s="973"/>
      <c r="H2" s="973"/>
      <c r="I2" s="973"/>
      <c r="J2" s="973"/>
      <c r="K2" s="973"/>
      <c r="L2" s="973"/>
      <c r="M2" s="973"/>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974"/>
      <c r="M3" s="974"/>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376</v>
      </c>
      <c r="M6" s="980" t="s">
        <v>371</v>
      </c>
    </row>
    <row r="7" spans="1:256" s="77" customFormat="1" ht="21" customHeight="1">
      <c r="A7" s="1001"/>
      <c r="B7" s="978"/>
      <c r="C7" s="980"/>
      <c r="D7" s="980"/>
      <c r="E7" s="980"/>
      <c r="F7" s="980"/>
      <c r="G7" s="980"/>
      <c r="H7" s="980"/>
      <c r="I7" s="980"/>
      <c r="J7" s="1002" t="s">
        <v>353</v>
      </c>
      <c r="K7" s="1002" t="s">
        <v>354</v>
      </c>
      <c r="L7" s="980"/>
      <c r="M7" s="980"/>
    </row>
    <row r="8" spans="1:256" s="77" customFormat="1" ht="24.75" customHeight="1">
      <c r="A8" s="1001"/>
      <c r="B8" s="978"/>
      <c r="C8" s="980"/>
      <c r="D8" s="980"/>
      <c r="E8" s="980"/>
      <c r="F8" s="980"/>
      <c r="G8" s="980"/>
      <c r="H8" s="980"/>
      <c r="I8" s="980"/>
      <c r="J8" s="1002"/>
      <c r="K8" s="1002"/>
      <c r="L8" s="980"/>
      <c r="M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338" t="s">
        <v>377</v>
      </c>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H11+H41+H53+H90+H100+H107+H114+H128+H138+H148+H149+H161+H174+H177</f>
        <v>10646879.411932841</v>
      </c>
      <c r="I10" s="343">
        <f>I11+I41+I53+I90+I100+I107+I114+I128+I138+I148+I149+I161+I174+I177</f>
        <v>9422769.4807999991</v>
      </c>
      <c r="J10" s="343">
        <f>J11+J41+J53+J90+J100+J107+J114+J128+J138+J148+J149+J161+J174+J177</f>
        <v>2626841.4808</v>
      </c>
      <c r="K10" s="343">
        <f>K11+K41+K53+K90+K100+K107+K114+K128+K138+K148+K149+K161+K174+K177</f>
        <v>6020764</v>
      </c>
      <c r="L10" s="343">
        <f>L11+L41+L53+L90+L100+L107+L114+L128+L138+L148+L149+L161+L174+L177</f>
        <v>775164</v>
      </c>
      <c r="M10" s="343">
        <f>H10-I10</f>
        <v>1224109.9311328419</v>
      </c>
      <c r="N10" s="69">
        <f>J10+K10+L10</f>
        <v>9422769.4807999991</v>
      </c>
      <c r="O10" s="69"/>
      <c r="P10" s="69"/>
      <c r="Q10" s="69">
        <f>K12-K26-K27-K30-K31-K32-K33</f>
        <v>2780118</v>
      </c>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7">
        <f>J11+K11+L11</f>
        <v>3790888</v>
      </c>
      <c r="J11" s="347">
        <f>J12+J34+J40</f>
        <v>782211</v>
      </c>
      <c r="K11" s="347">
        <f>K12+K34+K40</f>
        <v>2835567</v>
      </c>
      <c r="L11" s="347">
        <f>L12+L34+L40</f>
        <v>173110</v>
      </c>
      <c r="M11" s="347">
        <f t="shared" ref="M11:M53" si="0">H11-I11</f>
        <v>148869.84655299969</v>
      </c>
      <c r="N11" s="95">
        <f>H11-I11</f>
        <v>148869.84655299969</v>
      </c>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7">
        <f>J12+K12+L12</f>
        <v>3530777</v>
      </c>
      <c r="J12" s="347">
        <f>J13+J30+J31+J32+J33+J26+J27</f>
        <v>626804</v>
      </c>
      <c r="K12" s="347">
        <f>K13+K30+K31+K32+K33+K26+K27</f>
        <v>2800863</v>
      </c>
      <c r="L12" s="347">
        <f>35500+7610+60000</f>
        <v>103110</v>
      </c>
      <c r="M12" s="347">
        <f>H12-I12</f>
        <v>-67868.487693268806</v>
      </c>
      <c r="N12" s="99"/>
      <c r="O12" s="99"/>
      <c r="P12" s="99">
        <f>L10-L128-L138</f>
        <v>675880</v>
      </c>
      <c r="Q12" s="99"/>
      <c r="R12" s="99"/>
      <c r="S12" s="99" t="e">
        <f>L10+'Bieu 17'!#REF!+'Bieu 17'!#REF!</f>
        <v>#REF!</v>
      </c>
      <c r="T12" s="99"/>
      <c r="U12" s="99"/>
      <c r="V12" s="99"/>
      <c r="W12" s="99"/>
      <c r="X12" s="99"/>
      <c r="Y12" s="99"/>
      <c r="Z12" s="99"/>
      <c r="AA12" s="99"/>
      <c r="AB12" s="99"/>
      <c r="AC12" s="99"/>
      <c r="AD12" s="99"/>
      <c r="IV12" s="91" t="e">
        <f>+IV13+IV18+#REF!</f>
        <v>#REF!</v>
      </c>
    </row>
    <row r="13" spans="1:256" s="106" customFormat="1" ht="18.75" customHeight="1">
      <c r="A13" s="350" t="s">
        <v>24</v>
      </c>
      <c r="B13" s="351" t="s">
        <v>47</v>
      </c>
      <c r="C13" s="346"/>
      <c r="D13" s="348"/>
      <c r="E13" s="348">
        <v>415361</v>
      </c>
      <c r="F13" s="348">
        <v>415361</v>
      </c>
      <c r="G13" s="346"/>
      <c r="H13" s="348">
        <f>H14+H15+H16+H17</f>
        <v>1628040.6290249999</v>
      </c>
      <c r="I13" s="347">
        <f t="shared" ref="I13:I75" si="1">J13+K13</f>
        <v>3236200</v>
      </c>
      <c r="J13" s="348">
        <f>477724-21087-555</f>
        <v>456082</v>
      </c>
      <c r="K13" s="348">
        <v>2780118</v>
      </c>
      <c r="L13" s="348"/>
      <c r="M13" s="347"/>
      <c r="N13" s="105"/>
      <c r="O13" s="105"/>
      <c r="P13" s="105">
        <f>P12-675880</f>
        <v>0</v>
      </c>
      <c r="Q13" s="105"/>
      <c r="R13" s="105"/>
      <c r="S13" s="105"/>
      <c r="T13" s="105"/>
      <c r="U13" s="105"/>
      <c r="V13" s="105"/>
      <c r="W13" s="105"/>
      <c r="X13" s="105"/>
      <c r="Y13" s="105"/>
      <c r="Z13" s="105"/>
      <c r="AA13" s="105"/>
      <c r="AB13" s="105"/>
      <c r="AC13" s="105"/>
      <c r="AD13" s="105"/>
    </row>
    <row r="14" spans="1:256" ht="18" customHeight="1">
      <c r="A14" s="352"/>
      <c r="B14" s="353" t="s">
        <v>48</v>
      </c>
      <c r="C14" s="346" t="s">
        <v>49</v>
      </c>
      <c r="D14" s="354"/>
      <c r="E14" s="354">
        <v>53622</v>
      </c>
      <c r="F14" s="354">
        <v>53622</v>
      </c>
      <c r="G14" s="354">
        <v>2148100</v>
      </c>
      <c r="H14" s="354">
        <f>F14*G14*(1+$G$181)/1000000</f>
        <v>155500.31456999999</v>
      </c>
      <c r="I14" s="347">
        <f t="shared" si="1"/>
        <v>0</v>
      </c>
      <c r="J14" s="354"/>
      <c r="K14" s="354"/>
      <c r="L14" s="348"/>
      <c r="M14" s="347"/>
      <c r="N14" s="69"/>
      <c r="O14" s="69"/>
      <c r="P14" s="69"/>
      <c r="Q14" s="69"/>
      <c r="R14" s="69"/>
      <c r="S14" s="69"/>
      <c r="T14" s="69"/>
      <c r="U14" s="69"/>
      <c r="V14" s="69"/>
      <c r="W14" s="69"/>
      <c r="X14" s="69"/>
      <c r="Y14" s="69"/>
      <c r="Z14" s="69"/>
      <c r="AA14" s="69"/>
      <c r="AB14" s="69"/>
      <c r="AC14" s="69"/>
      <c r="AD14" s="69"/>
    </row>
    <row r="15" spans="1:256" ht="18" customHeight="1">
      <c r="A15" s="352"/>
      <c r="B15" s="353" t="s">
        <v>50</v>
      </c>
      <c r="C15" s="346" t="s">
        <v>49</v>
      </c>
      <c r="D15" s="354"/>
      <c r="E15" s="354">
        <v>238833</v>
      </c>
      <c r="F15" s="354">
        <v>238833</v>
      </c>
      <c r="G15" s="354">
        <v>2527200</v>
      </c>
      <c r="H15" s="354">
        <f>F15*G15*(1+$G$181)/1000000</f>
        <v>814831.32276000001</v>
      </c>
      <c r="I15" s="347">
        <f t="shared" si="1"/>
        <v>0</v>
      </c>
      <c r="J15" s="354"/>
      <c r="K15" s="354"/>
      <c r="L15" s="348"/>
      <c r="M15" s="347"/>
      <c r="N15" s="69"/>
      <c r="O15" s="69"/>
      <c r="P15" s="69"/>
      <c r="Q15" s="69"/>
      <c r="R15" s="69"/>
      <c r="S15" s="69"/>
      <c r="T15" s="69"/>
      <c r="U15" s="69"/>
      <c r="V15" s="69"/>
      <c r="W15" s="69"/>
      <c r="X15" s="69"/>
      <c r="Y15" s="69"/>
      <c r="Z15" s="69"/>
      <c r="AA15" s="69"/>
      <c r="AB15" s="69"/>
      <c r="AC15" s="69"/>
      <c r="AD15" s="69"/>
    </row>
    <row r="16" spans="1:256" ht="18" customHeight="1">
      <c r="A16" s="352"/>
      <c r="B16" s="353" t="s">
        <v>51</v>
      </c>
      <c r="C16" s="346" t="s">
        <v>49</v>
      </c>
      <c r="D16" s="354"/>
      <c r="E16" s="354">
        <v>88389</v>
      </c>
      <c r="F16" s="354">
        <v>88389</v>
      </c>
      <c r="G16" s="354">
        <v>3538100</v>
      </c>
      <c r="H16" s="354">
        <f>F16*G16*(1+$G$181)/1000000</f>
        <v>422184.31321499997</v>
      </c>
      <c r="I16" s="347">
        <f t="shared" si="1"/>
        <v>0</v>
      </c>
      <c r="J16" s="354"/>
      <c r="K16" s="354"/>
      <c r="L16" s="348"/>
      <c r="M16" s="347"/>
      <c r="N16" s="69"/>
      <c r="O16" s="69"/>
      <c r="P16" s="69"/>
      <c r="Q16" s="69"/>
      <c r="R16" s="69"/>
      <c r="S16" s="69"/>
      <c r="T16" s="69"/>
      <c r="U16" s="69"/>
      <c r="V16" s="69"/>
      <c r="W16" s="69"/>
      <c r="X16" s="69"/>
      <c r="Y16" s="69"/>
      <c r="Z16" s="69"/>
      <c r="AA16" s="69"/>
      <c r="AB16" s="69"/>
      <c r="AC16" s="69"/>
      <c r="AD16" s="69"/>
    </row>
    <row r="17" spans="1:30" ht="18" customHeight="1">
      <c r="A17" s="352"/>
      <c r="B17" s="353" t="s">
        <v>52</v>
      </c>
      <c r="C17" s="346" t="s">
        <v>49</v>
      </c>
      <c r="D17" s="354"/>
      <c r="E17" s="354">
        <v>34517</v>
      </c>
      <c r="F17" s="354">
        <v>34517</v>
      </c>
      <c r="G17" s="354">
        <v>5054400</v>
      </c>
      <c r="H17" s="354">
        <f>F17*G17*(1+$G$181)/1000000</f>
        <v>235524.67848000003</v>
      </c>
      <c r="I17" s="347">
        <f t="shared" si="1"/>
        <v>0</v>
      </c>
      <c r="J17" s="354"/>
      <c r="K17" s="354"/>
      <c r="L17" s="348"/>
      <c r="M17" s="347"/>
      <c r="N17" s="69"/>
      <c r="O17" s="69"/>
      <c r="P17" s="69"/>
      <c r="Q17" s="69"/>
      <c r="R17" s="69"/>
      <c r="S17" s="69"/>
      <c r="T17" s="69"/>
      <c r="U17" s="69"/>
      <c r="V17" s="69"/>
      <c r="W17" s="69"/>
      <c r="X17" s="69"/>
      <c r="Y17" s="69"/>
      <c r="Z17" s="69"/>
      <c r="AA17" s="69"/>
      <c r="AB17" s="69"/>
      <c r="AC17" s="69"/>
      <c r="AD17" s="69"/>
    </row>
    <row r="18" spans="1:30" s="106" customFormat="1" ht="18" customHeight="1">
      <c r="A18" s="350" t="s">
        <v>25</v>
      </c>
      <c r="B18" s="355" t="s">
        <v>337</v>
      </c>
      <c r="C18" s="346"/>
      <c r="D18" s="348"/>
      <c r="E18" s="356"/>
      <c r="F18" s="356"/>
      <c r="G18" s="348"/>
      <c r="H18" s="348">
        <f>+IF(H29&gt;82%,(H19+H26+H27+H28)/82%-H13,0)</f>
        <v>1754634.3512817316</v>
      </c>
      <c r="I18" s="347">
        <f t="shared" si="1"/>
        <v>0</v>
      </c>
      <c r="J18" s="348"/>
      <c r="K18" s="348"/>
      <c r="L18" s="348"/>
      <c r="M18" s="347"/>
      <c r="N18" s="105"/>
      <c r="O18" s="105"/>
      <c r="P18" s="105"/>
      <c r="Q18" s="105"/>
      <c r="R18" s="105"/>
      <c r="S18" s="105"/>
      <c r="T18" s="105"/>
      <c r="U18" s="105"/>
      <c r="V18" s="105"/>
      <c r="W18" s="105"/>
      <c r="X18" s="105"/>
      <c r="Y18" s="105"/>
      <c r="Z18" s="105"/>
      <c r="AA18" s="105"/>
      <c r="AB18" s="105"/>
      <c r="AC18" s="105"/>
      <c r="AD18" s="105"/>
    </row>
    <row r="19" spans="1:30" s="106" customFormat="1" ht="18" customHeight="1">
      <c r="A19" s="350"/>
      <c r="B19" s="355" t="s">
        <v>313</v>
      </c>
      <c r="C19" s="346"/>
      <c r="D19" s="348"/>
      <c r="E19" s="356"/>
      <c r="F19" s="356"/>
      <c r="G19" s="348"/>
      <c r="H19" s="348">
        <v>2662559.0438515199</v>
      </c>
      <c r="I19" s="347">
        <f t="shared" si="1"/>
        <v>0</v>
      </c>
      <c r="J19" s="348"/>
      <c r="K19" s="348"/>
      <c r="L19" s="348"/>
      <c r="M19" s="347"/>
      <c r="N19" s="105"/>
      <c r="O19" s="105"/>
      <c r="P19" s="105"/>
      <c r="Q19" s="105"/>
      <c r="R19" s="105"/>
      <c r="S19" s="105"/>
      <c r="T19" s="105"/>
      <c r="U19" s="105"/>
      <c r="V19" s="105"/>
      <c r="W19" s="105"/>
      <c r="X19" s="105"/>
      <c r="Y19" s="105"/>
      <c r="Z19" s="105"/>
      <c r="AA19" s="105"/>
      <c r="AB19" s="105"/>
      <c r="AC19" s="105"/>
      <c r="AD19" s="105"/>
    </row>
    <row r="20" spans="1:30" s="106" customFormat="1" ht="18" customHeight="1">
      <c r="A20" s="350"/>
      <c r="B20" s="357" t="s">
        <v>211</v>
      </c>
      <c r="C20" s="346"/>
      <c r="D20" s="348"/>
      <c r="E20" s="358">
        <v>24106</v>
      </c>
      <c r="F20" s="358">
        <v>24106</v>
      </c>
      <c r="G20" s="348"/>
      <c r="H20" s="354"/>
      <c r="I20" s="347">
        <f t="shared" si="1"/>
        <v>0</v>
      </c>
      <c r="J20" s="348"/>
      <c r="K20" s="348"/>
      <c r="L20" s="348">
        <f t="shared" ref="L20:L51" si="2">H20-I20</f>
        <v>0</v>
      </c>
      <c r="M20" s="347">
        <f t="shared" si="0"/>
        <v>0</v>
      </c>
      <c r="N20" s="105"/>
      <c r="O20" s="105"/>
      <c r="P20" s="105"/>
      <c r="Q20" s="105"/>
      <c r="R20" s="105"/>
      <c r="S20" s="105"/>
      <c r="T20" s="105"/>
      <c r="U20" s="105"/>
      <c r="V20" s="105"/>
      <c r="W20" s="105"/>
      <c r="X20" s="105"/>
      <c r="Y20" s="105"/>
      <c r="Z20" s="105"/>
      <c r="AA20" s="105"/>
      <c r="AB20" s="105"/>
      <c r="AC20" s="105"/>
      <c r="AD20" s="105"/>
    </row>
    <row r="21" spans="1:30" s="106" customFormat="1" ht="17.25" customHeight="1">
      <c r="A21" s="350"/>
      <c r="B21" s="357" t="s">
        <v>160</v>
      </c>
      <c r="C21" s="346"/>
      <c r="D21" s="348"/>
      <c r="E21" s="358">
        <v>24106</v>
      </c>
      <c r="F21" s="358">
        <v>24106</v>
      </c>
      <c r="G21" s="348"/>
      <c r="H21" s="354"/>
      <c r="I21" s="347">
        <f t="shared" si="1"/>
        <v>0</v>
      </c>
      <c r="J21" s="348"/>
      <c r="K21" s="348"/>
      <c r="L21" s="348">
        <f t="shared" si="2"/>
        <v>0</v>
      </c>
      <c r="M21" s="347">
        <f t="shared" si="0"/>
        <v>0</v>
      </c>
      <c r="N21" s="105"/>
      <c r="O21" s="105"/>
      <c r="P21" s="105"/>
      <c r="Q21" s="105"/>
      <c r="R21" s="105"/>
      <c r="S21" s="105"/>
      <c r="T21" s="105"/>
      <c r="U21" s="105"/>
      <c r="V21" s="105"/>
      <c r="W21" s="105"/>
      <c r="X21" s="105"/>
      <c r="Y21" s="105"/>
      <c r="Z21" s="105"/>
      <c r="AA21" s="105"/>
      <c r="AB21" s="105"/>
      <c r="AC21" s="105"/>
      <c r="AD21" s="105"/>
    </row>
    <row r="22" spans="1:30" s="106" customFormat="1" ht="18" customHeight="1">
      <c r="A22" s="350"/>
      <c r="B22" s="357" t="s">
        <v>298</v>
      </c>
      <c r="C22" s="346"/>
      <c r="D22" s="348"/>
      <c r="E22" s="359">
        <v>3.61</v>
      </c>
      <c r="F22" s="359">
        <v>3.61</v>
      </c>
      <c r="G22" s="348"/>
      <c r="H22" s="354"/>
      <c r="I22" s="347">
        <f t="shared" si="1"/>
        <v>0</v>
      </c>
      <c r="J22" s="348"/>
      <c r="K22" s="360"/>
      <c r="L22" s="348">
        <f t="shared" si="2"/>
        <v>0</v>
      </c>
      <c r="M22" s="347">
        <f t="shared" si="0"/>
        <v>0</v>
      </c>
      <c r="N22" s="105"/>
      <c r="O22" s="105"/>
      <c r="P22" s="105"/>
      <c r="Q22" s="105"/>
      <c r="R22" s="105"/>
      <c r="S22" s="105"/>
      <c r="T22" s="105"/>
      <c r="U22" s="105"/>
      <c r="V22" s="105"/>
      <c r="W22" s="105"/>
      <c r="X22" s="105"/>
      <c r="Y22" s="105"/>
      <c r="Z22" s="105"/>
      <c r="AA22" s="105"/>
      <c r="AB22" s="105"/>
      <c r="AC22" s="105"/>
      <c r="AD22" s="105"/>
    </row>
    <row r="23" spans="1:30" s="106" customFormat="1" ht="18" customHeight="1">
      <c r="A23" s="350"/>
      <c r="B23" s="357" t="s">
        <v>297</v>
      </c>
      <c r="C23" s="346"/>
      <c r="D23" s="348"/>
      <c r="E23" s="359">
        <v>2.96</v>
      </c>
      <c r="F23" s="359">
        <v>2.96</v>
      </c>
      <c r="G23" s="348"/>
      <c r="H23" s="354"/>
      <c r="I23" s="347">
        <f t="shared" si="1"/>
        <v>0</v>
      </c>
      <c r="J23" s="348"/>
      <c r="K23" s="360"/>
      <c r="L23" s="348">
        <f t="shared" si="2"/>
        <v>0</v>
      </c>
      <c r="M23" s="347">
        <f t="shared" si="0"/>
        <v>0</v>
      </c>
      <c r="N23" s="105"/>
      <c r="O23" s="105"/>
      <c r="P23" s="105"/>
      <c r="Q23" s="105"/>
      <c r="R23" s="105"/>
      <c r="S23" s="105"/>
      <c r="T23" s="105"/>
      <c r="U23" s="105"/>
      <c r="V23" s="105"/>
      <c r="W23" s="105"/>
      <c r="X23" s="105"/>
      <c r="Y23" s="105"/>
      <c r="Z23" s="105"/>
      <c r="AA23" s="105"/>
      <c r="AB23" s="105"/>
      <c r="AC23" s="105"/>
      <c r="AD23" s="105"/>
    </row>
    <row r="24" spans="1:30" s="106" customFormat="1" ht="18" customHeight="1">
      <c r="A24" s="350"/>
      <c r="B24" s="357" t="s">
        <v>321</v>
      </c>
      <c r="C24" s="346"/>
      <c r="D24" s="348"/>
      <c r="E24" s="361">
        <v>0.24</v>
      </c>
      <c r="F24" s="361">
        <v>0.24</v>
      </c>
      <c r="G24" s="348"/>
      <c r="H24" s="354"/>
      <c r="I24" s="347">
        <f t="shared" si="1"/>
        <v>0</v>
      </c>
      <c r="J24" s="348"/>
      <c r="K24" s="348"/>
      <c r="L24" s="348">
        <f t="shared" si="2"/>
        <v>0</v>
      </c>
      <c r="M24" s="347">
        <f t="shared" si="0"/>
        <v>0</v>
      </c>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7"/>
      <c r="J25" s="348"/>
      <c r="K25" s="348"/>
      <c r="L25" s="348">
        <f t="shared" si="2"/>
        <v>0</v>
      </c>
      <c r="M25" s="347">
        <f t="shared" si="0"/>
        <v>0</v>
      </c>
      <c r="N25" s="105"/>
      <c r="O25" s="105"/>
      <c r="P25" s="105">
        <v>10646879</v>
      </c>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56">
        <f t="shared" si="1"/>
        <v>51865</v>
      </c>
      <c r="J26" s="356">
        <f>21087+10033</f>
        <v>31120</v>
      </c>
      <c r="K26" s="356">
        <v>20745</v>
      </c>
      <c r="L26" s="348">
        <f t="shared" si="2"/>
        <v>0.44000000000232831</v>
      </c>
      <c r="M26" s="347">
        <f t="shared" si="0"/>
        <v>0.44000000000232831</v>
      </c>
      <c r="N26" s="105"/>
      <c r="O26" s="105"/>
      <c r="P26" s="105">
        <f>P25-H10</f>
        <v>-0.41193284094333649</v>
      </c>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56">
        <f t="shared" si="1"/>
        <v>59369</v>
      </c>
      <c r="J27" s="367">
        <v>59369</v>
      </c>
      <c r="K27" s="367"/>
      <c r="L27" s="348">
        <f t="shared" si="2"/>
        <v>0</v>
      </c>
      <c r="M27" s="347">
        <f t="shared" si="0"/>
        <v>0</v>
      </c>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56">
        <f t="shared" si="1"/>
        <v>0</v>
      </c>
      <c r="J28" s="367"/>
      <c r="K28" s="367"/>
      <c r="L28" s="348">
        <f t="shared" si="2"/>
        <v>0</v>
      </c>
      <c r="M28" s="347">
        <f t="shared" si="0"/>
        <v>0</v>
      </c>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56">
        <f t="shared" si="1"/>
        <v>0</v>
      </c>
      <c r="J29" s="356"/>
      <c r="K29" s="356"/>
      <c r="L29" s="348">
        <f t="shared" si="2"/>
        <v>1.703761831492306</v>
      </c>
      <c r="M29" s="347">
        <f t="shared" si="0"/>
        <v>1.703761831492306</v>
      </c>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56">
        <f t="shared" si="1"/>
        <v>30697</v>
      </c>
      <c r="J30" s="356">
        <v>30697</v>
      </c>
      <c r="K30" s="356"/>
      <c r="L30" s="348">
        <f t="shared" si="2"/>
        <v>-0.16000000000349246</v>
      </c>
      <c r="M30" s="347">
        <f t="shared" si="0"/>
        <v>-0.16000000000349246</v>
      </c>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56">
        <f t="shared" si="1"/>
        <v>9867</v>
      </c>
      <c r="J31" s="367">
        <f>555+9312</f>
        <v>9867</v>
      </c>
      <c r="K31" s="367"/>
      <c r="L31" s="348">
        <f t="shared" si="2"/>
        <v>0.39199999999982538</v>
      </c>
      <c r="M31" s="347">
        <f t="shared" si="0"/>
        <v>0.39199999999982538</v>
      </c>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56">
        <f t="shared" si="1"/>
        <v>34188</v>
      </c>
      <c r="J32" s="367">
        <v>34188</v>
      </c>
      <c r="K32" s="367"/>
      <c r="L32" s="348">
        <f t="shared" si="2"/>
        <v>0</v>
      </c>
      <c r="M32" s="347">
        <f t="shared" si="0"/>
        <v>0</v>
      </c>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56">
        <f t="shared" si="1"/>
        <v>5481</v>
      </c>
      <c r="J33" s="356">
        <f>2433+3048</f>
        <v>5481</v>
      </c>
      <c r="K33" s="356"/>
      <c r="L33" s="348">
        <f t="shared" si="2"/>
        <v>0.3000000000001819</v>
      </c>
      <c r="M33" s="347">
        <f t="shared" si="0"/>
        <v>0.3000000000001819</v>
      </c>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7">
        <f>J34+K34+L34</f>
        <v>260111</v>
      </c>
      <c r="J34" s="347">
        <f>178000-30000-3048+10455</f>
        <v>155407</v>
      </c>
      <c r="K34" s="347">
        <v>34704</v>
      </c>
      <c r="L34" s="347">
        <f>70000</f>
        <v>70000</v>
      </c>
      <c r="M34" s="347">
        <f t="shared" si="0"/>
        <v>-87126.57852499999</v>
      </c>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7">
        <f t="shared" si="1"/>
        <v>0</v>
      </c>
      <c r="J35" s="349"/>
      <c r="K35" s="349"/>
      <c r="L35" s="348">
        <f t="shared" si="2"/>
        <v>172984.42147500001</v>
      </c>
      <c r="M35" s="347">
        <f t="shared" si="0"/>
        <v>172984.42147500001</v>
      </c>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7">
        <f t="shared" si="1"/>
        <v>0</v>
      </c>
      <c r="J36" s="354"/>
      <c r="K36" s="354"/>
      <c r="L36" s="348">
        <f t="shared" si="2"/>
        <v>17388.458999999999</v>
      </c>
      <c r="M36" s="347">
        <f t="shared" si="0"/>
        <v>17388.458999999999</v>
      </c>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7">
        <f t="shared" si="1"/>
        <v>0</v>
      </c>
      <c r="J37" s="354"/>
      <c r="K37" s="354"/>
      <c r="L37" s="348">
        <f t="shared" si="2"/>
        <v>86099.277375000005</v>
      </c>
      <c r="M37" s="347">
        <f t="shared" si="0"/>
        <v>86099.277375000005</v>
      </c>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7">
        <f t="shared" si="1"/>
        <v>0</v>
      </c>
      <c r="J38" s="354"/>
      <c r="K38" s="354"/>
      <c r="L38" s="348">
        <f t="shared" si="2"/>
        <v>44610.218099999998</v>
      </c>
      <c r="M38" s="347">
        <f t="shared" si="0"/>
        <v>44610.218099999998</v>
      </c>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7">
        <f t="shared" si="1"/>
        <v>0</v>
      </c>
      <c r="J39" s="354"/>
      <c r="K39" s="354"/>
      <c r="L39" s="348">
        <f t="shared" si="2"/>
        <v>24886.467000000001</v>
      </c>
      <c r="M39" s="347">
        <f t="shared" si="0"/>
        <v>24886.467000000001</v>
      </c>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7">
        <f t="shared" si="1"/>
        <v>0</v>
      </c>
      <c r="J40" s="354"/>
      <c r="K40" s="354"/>
      <c r="L40" s="348"/>
      <c r="M40" s="347">
        <f t="shared" si="0"/>
        <v>303864.91277126851</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7">
        <f>J41+K41+L41</f>
        <v>944175</v>
      </c>
      <c r="J41" s="347">
        <f>J42+J47+J48+J49+J50+J51+J52</f>
        <v>853565</v>
      </c>
      <c r="K41" s="347">
        <f>K42+K47+K48+K49+K50+K51+K52</f>
        <v>43030</v>
      </c>
      <c r="L41" s="347">
        <f>28080+17000+2500</f>
        <v>47580</v>
      </c>
      <c r="M41" s="347">
        <f>H41-I41</f>
        <v>13804.847160000005</v>
      </c>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56">
        <f>J42+K42</f>
        <v>495490</v>
      </c>
      <c r="J42" s="356">
        <f>505490-10000-6680</f>
        <v>488810</v>
      </c>
      <c r="K42" s="356">
        <v>6680</v>
      </c>
      <c r="L42" s="348"/>
      <c r="M42" s="347"/>
      <c r="N42" s="99"/>
      <c r="O42" s="99">
        <f>H42-I42</f>
        <v>61384.314200000023</v>
      </c>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56">
        <f t="shared" si="1"/>
        <v>0</v>
      </c>
      <c r="J43" s="356"/>
      <c r="K43" s="356"/>
      <c r="L43" s="348">
        <f t="shared" si="2"/>
        <v>47681.904690000003</v>
      </c>
      <c r="M43" s="347">
        <f t="shared" si="0"/>
        <v>47681.904690000003</v>
      </c>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56">
        <f t="shared" si="1"/>
        <v>0</v>
      </c>
      <c r="J44" s="356"/>
      <c r="K44" s="356"/>
      <c r="L44" s="348">
        <f t="shared" si="2"/>
        <v>287000.88075000001</v>
      </c>
      <c r="M44" s="347">
        <f t="shared" si="0"/>
        <v>287000.88075000001</v>
      </c>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56">
        <f t="shared" si="1"/>
        <v>0</v>
      </c>
      <c r="J45" s="356"/>
      <c r="K45" s="356"/>
      <c r="L45" s="348">
        <f t="shared" si="2"/>
        <v>143384.91007499999</v>
      </c>
      <c r="M45" s="347">
        <f t="shared" si="0"/>
        <v>143384.91007499999</v>
      </c>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56">
        <f t="shared" si="1"/>
        <v>0</v>
      </c>
      <c r="J46" s="356"/>
      <c r="K46" s="356"/>
      <c r="L46" s="348">
        <f t="shared" si="2"/>
        <v>78806.618684999994</v>
      </c>
      <c r="M46" s="347">
        <f t="shared" si="0"/>
        <v>78806.618684999994</v>
      </c>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56">
        <f t="shared" si="1"/>
        <v>110015</v>
      </c>
      <c r="J47" s="356">
        <v>110015</v>
      </c>
      <c r="K47" s="356"/>
      <c r="L47" s="348">
        <f t="shared" si="2"/>
        <v>-8.1799999999930151E-2</v>
      </c>
      <c r="M47" s="347">
        <f t="shared" si="0"/>
        <v>-8.1799999999930151E-2</v>
      </c>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56">
        <f t="shared" si="1"/>
        <v>40585</v>
      </c>
      <c r="J48" s="356">
        <f>40585-36350</f>
        <v>4235</v>
      </c>
      <c r="K48" s="356">
        <v>36350</v>
      </c>
      <c r="L48" s="348">
        <f t="shared" si="2"/>
        <v>0.28760000000329455</v>
      </c>
      <c r="M48" s="347">
        <f t="shared" si="0"/>
        <v>0.28760000000329455</v>
      </c>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56">
        <f t="shared" si="1"/>
        <v>212258</v>
      </c>
      <c r="J49" s="356">
        <v>212258</v>
      </c>
      <c r="K49" s="349"/>
      <c r="L49" s="348">
        <f t="shared" si="2"/>
        <v>0.29680000001098961</v>
      </c>
      <c r="M49" s="347">
        <f t="shared" si="0"/>
        <v>0.29680000001098961</v>
      </c>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56">
        <f t="shared" si="1"/>
        <v>4</v>
      </c>
      <c r="J50" s="356">
        <v>4</v>
      </c>
      <c r="K50" s="349"/>
      <c r="L50" s="348">
        <f t="shared" si="2"/>
        <v>-7.9600000000000115E-2</v>
      </c>
      <c r="M50" s="347">
        <f t="shared" si="0"/>
        <v>-7.9600000000000115E-2</v>
      </c>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56">
        <f t="shared" si="1"/>
        <v>31371</v>
      </c>
      <c r="J51" s="356">
        <v>31371</v>
      </c>
      <c r="K51" s="349"/>
      <c r="L51" s="348">
        <f t="shared" si="2"/>
        <v>-0.35124000000359956</v>
      </c>
      <c r="M51" s="347">
        <f t="shared" si="0"/>
        <v>-0.35124000000359956</v>
      </c>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56">
        <f t="shared" si="1"/>
        <v>6872</v>
      </c>
      <c r="J52" s="356">
        <v>6872</v>
      </c>
      <c r="K52" s="349"/>
      <c r="L52" s="348"/>
      <c r="M52" s="347">
        <f t="shared" si="0"/>
        <v>0.46119999999973516</v>
      </c>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7">
        <f>J53+K53+L53</f>
        <v>1947306</v>
      </c>
      <c r="J53" s="377">
        <f>J54+J89</f>
        <v>425116</v>
      </c>
      <c r="K53" s="377">
        <f>K54+K89</f>
        <v>1500320</v>
      </c>
      <c r="L53" s="348">
        <f>10000+1400+370+1000+8000+1100</f>
        <v>21870</v>
      </c>
      <c r="M53" s="347">
        <f t="shared" si="0"/>
        <v>-285677.56208015978</v>
      </c>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56">
        <f t="shared" si="1"/>
        <v>1925436</v>
      </c>
      <c r="J54" s="378">
        <f>360317+73799-9000</f>
        <v>425116</v>
      </c>
      <c r="K54" s="356">
        <v>1500320</v>
      </c>
      <c r="L54" s="348"/>
      <c r="M54" s="347"/>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56">
        <f t="shared" si="1"/>
        <v>0</v>
      </c>
      <c r="J55" s="356"/>
      <c r="K55" s="356"/>
      <c r="L55" s="348"/>
      <c r="M55" s="347"/>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56">
        <f t="shared" si="1"/>
        <v>0</v>
      </c>
      <c r="J56" s="356"/>
      <c r="K56" s="356"/>
      <c r="L56" s="348"/>
      <c r="M56" s="347"/>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56">
        <f t="shared" si="1"/>
        <v>0</v>
      </c>
      <c r="J57" s="356"/>
      <c r="K57" s="356"/>
      <c r="L57" s="348"/>
      <c r="M57" s="347"/>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56">
        <f t="shared" si="1"/>
        <v>0</v>
      </c>
      <c r="J58" s="356"/>
      <c r="K58" s="356"/>
      <c r="L58" s="348"/>
      <c r="M58" s="347"/>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56">
        <f t="shared" si="1"/>
        <v>0</v>
      </c>
      <c r="J59" s="356"/>
      <c r="K59" s="356"/>
      <c r="L59" s="348"/>
      <c r="M59" s="347"/>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56">
        <f t="shared" si="1"/>
        <v>0</v>
      </c>
      <c r="J60" s="356"/>
      <c r="K60" s="356"/>
      <c r="L60" s="348"/>
      <c r="M60" s="347"/>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56">
        <f t="shared" si="1"/>
        <v>0</v>
      </c>
      <c r="J61" s="356"/>
      <c r="K61" s="356"/>
      <c r="L61" s="348"/>
      <c r="M61" s="347"/>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56">
        <f t="shared" si="1"/>
        <v>0</v>
      </c>
      <c r="J62" s="356"/>
      <c r="K62" s="356"/>
      <c r="L62" s="348"/>
      <c r="M62" s="347"/>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56">
        <f t="shared" si="1"/>
        <v>0</v>
      </c>
      <c r="J63" s="356"/>
      <c r="K63" s="356"/>
      <c r="L63" s="348"/>
      <c r="M63" s="347"/>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56">
        <f t="shared" si="1"/>
        <v>0</v>
      </c>
      <c r="J64" s="356"/>
      <c r="K64" s="356"/>
      <c r="L64" s="348"/>
      <c r="M64" s="347"/>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56">
        <f t="shared" si="1"/>
        <v>0</v>
      </c>
      <c r="J65" s="356"/>
      <c r="K65" s="356"/>
      <c r="L65" s="348"/>
      <c r="M65" s="347"/>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56">
        <f t="shared" si="1"/>
        <v>0</v>
      </c>
      <c r="J66" s="356"/>
      <c r="K66" s="356"/>
      <c r="L66" s="348"/>
      <c r="M66" s="347"/>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56">
        <f t="shared" si="1"/>
        <v>0</v>
      </c>
      <c r="J67" s="356"/>
      <c r="K67" s="356"/>
      <c r="L67" s="348"/>
      <c r="M67" s="347"/>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56">
        <f t="shared" si="1"/>
        <v>0</v>
      </c>
      <c r="J68" s="356"/>
      <c r="K68" s="356"/>
      <c r="L68" s="348"/>
      <c r="M68" s="347"/>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56">
        <f t="shared" si="1"/>
        <v>0</v>
      </c>
      <c r="J69" s="356"/>
      <c r="K69" s="356"/>
      <c r="L69" s="348"/>
      <c r="M69" s="347"/>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56">
        <f t="shared" si="1"/>
        <v>0</v>
      </c>
      <c r="J70" s="356"/>
      <c r="K70" s="356"/>
      <c r="L70" s="348"/>
      <c r="M70" s="347"/>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56">
        <f t="shared" si="1"/>
        <v>0</v>
      </c>
      <c r="J71" s="356"/>
      <c r="K71" s="356"/>
      <c r="L71" s="348"/>
      <c r="M71" s="347"/>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56">
        <f t="shared" si="1"/>
        <v>0</v>
      </c>
      <c r="J72" s="356"/>
      <c r="K72" s="356"/>
      <c r="L72" s="348"/>
      <c r="M72" s="347"/>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56">
        <f t="shared" si="1"/>
        <v>0</v>
      </c>
      <c r="J73" s="356"/>
      <c r="K73" s="356"/>
      <c r="L73" s="348"/>
      <c r="M73" s="347"/>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56">
        <f t="shared" si="1"/>
        <v>0</v>
      </c>
      <c r="J74" s="356"/>
      <c r="K74" s="356"/>
      <c r="L74" s="348"/>
      <c r="M74" s="347"/>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56">
        <f t="shared" si="1"/>
        <v>0</v>
      </c>
      <c r="J75" s="356"/>
      <c r="K75" s="356"/>
      <c r="L75" s="348"/>
      <c r="M75" s="347"/>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56">
        <f t="shared" ref="I76:I139" si="3">J76+K76</f>
        <v>0</v>
      </c>
      <c r="J76" s="356"/>
      <c r="K76" s="356"/>
      <c r="L76" s="348"/>
      <c r="M76" s="347"/>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56">
        <f t="shared" si="3"/>
        <v>0</v>
      </c>
      <c r="J77" s="356"/>
      <c r="K77" s="356"/>
      <c r="L77" s="348"/>
      <c r="M77" s="347"/>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56">
        <f t="shared" si="3"/>
        <v>0</v>
      </c>
      <c r="J78" s="356"/>
      <c r="K78" s="356"/>
      <c r="L78" s="348"/>
      <c r="M78" s="347"/>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56">
        <f t="shared" si="3"/>
        <v>0</v>
      </c>
      <c r="J79" s="356"/>
      <c r="K79" s="356"/>
      <c r="L79" s="348"/>
      <c r="M79" s="347"/>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56">
        <f t="shared" si="3"/>
        <v>0</v>
      </c>
      <c r="J80" s="356"/>
      <c r="K80" s="356"/>
      <c r="L80" s="348"/>
      <c r="M80" s="347"/>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56">
        <f t="shared" si="3"/>
        <v>0</v>
      </c>
      <c r="J81" s="356"/>
      <c r="K81" s="356"/>
      <c r="L81" s="348"/>
      <c r="M81" s="347"/>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56">
        <f t="shared" si="3"/>
        <v>0</v>
      </c>
      <c r="J82" s="356"/>
      <c r="K82" s="356"/>
      <c r="L82" s="348"/>
      <c r="M82" s="347"/>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56">
        <f t="shared" si="3"/>
        <v>0</v>
      </c>
      <c r="J83" s="356"/>
      <c r="K83" s="356"/>
      <c r="L83" s="348"/>
      <c r="M83" s="347"/>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56">
        <f t="shared" si="3"/>
        <v>0</v>
      </c>
      <c r="J84" s="356"/>
      <c r="K84" s="356"/>
      <c r="L84" s="348"/>
      <c r="M84" s="347"/>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56">
        <f t="shared" si="3"/>
        <v>0</v>
      </c>
      <c r="J85" s="356"/>
      <c r="K85" s="356"/>
      <c r="L85" s="348"/>
      <c r="M85" s="347"/>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56">
        <f t="shared" si="3"/>
        <v>0</v>
      </c>
      <c r="J86" s="356"/>
      <c r="K86" s="356"/>
      <c r="L86" s="348"/>
      <c r="M86" s="347"/>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56">
        <f t="shared" si="3"/>
        <v>0</v>
      </c>
      <c r="J87" s="356"/>
      <c r="K87" s="356"/>
      <c r="L87" s="348"/>
      <c r="M87" s="347"/>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56">
        <f t="shared" si="3"/>
        <v>0</v>
      </c>
      <c r="J88" s="356"/>
      <c r="K88" s="356"/>
      <c r="L88" s="348"/>
      <c r="M88" s="347"/>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56">
        <f>J89+K89</f>
        <v>0</v>
      </c>
      <c r="J89" s="356"/>
      <c r="K89" s="356"/>
      <c r="L89" s="348"/>
      <c r="M89" s="347"/>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7">
        <f>J90+K90+L90</f>
        <v>174176</v>
      </c>
      <c r="J90" s="377">
        <f>54171-20000+16470-50</f>
        <v>50591</v>
      </c>
      <c r="K90" s="347">
        <v>52285</v>
      </c>
      <c r="L90" s="348">
        <f>300+50000+1000+15000+5000</f>
        <v>71300</v>
      </c>
      <c r="M90" s="347">
        <f t="shared" ref="M90:M138" si="4">H90-I90</f>
        <v>-96127.192590000006</v>
      </c>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7">
        <f t="shared" si="3"/>
        <v>0</v>
      </c>
      <c r="J91" s="347"/>
      <c r="K91" s="347"/>
      <c r="L91" s="348"/>
      <c r="M91" s="347">
        <f t="shared" si="4"/>
        <v>68038.807409999994</v>
      </c>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7">
        <f t="shared" si="3"/>
        <v>0</v>
      </c>
      <c r="J92" s="354"/>
      <c r="K92" s="354"/>
      <c r="L92" s="348"/>
      <c r="M92" s="347">
        <f t="shared" si="4"/>
        <v>6942.1930199999997</v>
      </c>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7">
        <f t="shared" si="3"/>
        <v>0</v>
      </c>
      <c r="J93" s="354"/>
      <c r="K93" s="354"/>
      <c r="L93" s="348"/>
      <c r="M93" s="347">
        <f t="shared" si="4"/>
        <v>33942.591</v>
      </c>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7">
        <f t="shared" si="3"/>
        <v>0</v>
      </c>
      <c r="J94" s="354"/>
      <c r="K94" s="354"/>
      <c r="L94" s="348"/>
      <c r="M94" s="347">
        <f t="shared" si="4"/>
        <v>17595.087974999999</v>
      </c>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7">
        <f t="shared" si="3"/>
        <v>0</v>
      </c>
      <c r="J95" s="354"/>
      <c r="K95" s="354"/>
      <c r="L95" s="348"/>
      <c r="M95" s="347">
        <f t="shared" si="4"/>
        <v>9558.9354149999999</v>
      </c>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7">
        <f t="shared" si="3"/>
        <v>0</v>
      </c>
      <c r="J96" s="354"/>
      <c r="K96" s="354"/>
      <c r="L96" s="348"/>
      <c r="M96" s="347">
        <f t="shared" si="4"/>
        <v>4010</v>
      </c>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7">
        <f t="shared" si="3"/>
        <v>0</v>
      </c>
      <c r="J97" s="354"/>
      <c r="K97" s="354"/>
      <c r="L97" s="348"/>
      <c r="M97" s="347">
        <f t="shared" si="4"/>
        <v>510</v>
      </c>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7">
        <f t="shared" si="3"/>
        <v>0</v>
      </c>
      <c r="J98" s="354"/>
      <c r="K98" s="354"/>
      <c r="L98" s="348"/>
      <c r="M98" s="347">
        <f t="shared" si="4"/>
        <v>3500</v>
      </c>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7">
        <f t="shared" si="3"/>
        <v>0</v>
      </c>
      <c r="J99" s="348"/>
      <c r="K99" s="348"/>
      <c r="L99" s="348"/>
      <c r="M99" s="347">
        <f t="shared" si="4"/>
        <v>6000</v>
      </c>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7">
        <f>J100+K100+L100</f>
        <v>45628</v>
      </c>
      <c r="J100" s="377">
        <v>16714</v>
      </c>
      <c r="K100" s="347">
        <v>28914</v>
      </c>
      <c r="L100" s="348"/>
      <c r="M100" s="347">
        <f t="shared" si="4"/>
        <v>-4057.5881200000003</v>
      </c>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7">
        <f t="shared" si="3"/>
        <v>0</v>
      </c>
      <c r="J101" s="347"/>
      <c r="K101" s="347"/>
      <c r="L101" s="348"/>
      <c r="M101" s="347">
        <f t="shared" si="4"/>
        <v>40910.41188</v>
      </c>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7">
        <f t="shared" si="3"/>
        <v>0</v>
      </c>
      <c r="J102" s="354"/>
      <c r="K102" s="354"/>
      <c r="L102" s="348"/>
      <c r="M102" s="347">
        <f t="shared" si="4"/>
        <v>4123.5582600000007</v>
      </c>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7">
        <f t="shared" si="3"/>
        <v>0</v>
      </c>
      <c r="J103" s="354"/>
      <c r="K103" s="354"/>
      <c r="L103" s="348"/>
      <c r="M103" s="347">
        <f t="shared" si="4"/>
        <v>20458.547999999999</v>
      </c>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7">
        <f t="shared" si="3"/>
        <v>0</v>
      </c>
      <c r="J104" s="354"/>
      <c r="K104" s="354"/>
      <c r="L104" s="348"/>
      <c r="M104" s="347">
        <f t="shared" si="4"/>
        <v>10582.86465</v>
      </c>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7">
        <f t="shared" si="3"/>
        <v>0</v>
      </c>
      <c r="J105" s="354"/>
      <c r="K105" s="354"/>
      <c r="L105" s="348"/>
      <c r="M105" s="347">
        <f t="shared" si="4"/>
        <v>5745.4409699999997</v>
      </c>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7">
        <f t="shared" si="3"/>
        <v>0</v>
      </c>
      <c r="J106" s="354"/>
      <c r="K106" s="354"/>
      <c r="L106" s="348"/>
      <c r="M106" s="347">
        <f t="shared" si="4"/>
        <v>660</v>
      </c>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7">
        <f>J107+K107+L107</f>
        <v>52883</v>
      </c>
      <c r="J107" s="377">
        <v>25429</v>
      </c>
      <c r="K107" s="347">
        <v>27454</v>
      </c>
      <c r="L107" s="348"/>
      <c r="M107" s="347">
        <f t="shared" si="4"/>
        <v>-18696.147964999996</v>
      </c>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7">
        <f t="shared" si="3"/>
        <v>0</v>
      </c>
      <c r="J108" s="347"/>
      <c r="K108" s="347"/>
      <c r="L108" s="348"/>
      <c r="M108" s="347">
        <f t="shared" si="4"/>
        <v>33835.852035000004</v>
      </c>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7">
        <f t="shared" si="3"/>
        <v>0</v>
      </c>
      <c r="J109" s="354"/>
      <c r="K109" s="354"/>
      <c r="L109" s="348"/>
      <c r="M109" s="347">
        <f t="shared" si="4"/>
        <v>4854.3154199999999</v>
      </c>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7">
        <f t="shared" si="3"/>
        <v>0</v>
      </c>
      <c r="J110" s="354"/>
      <c r="K110" s="354"/>
      <c r="L110" s="348"/>
      <c r="M110" s="347">
        <f t="shared" si="4"/>
        <v>16157.603250000002</v>
      </c>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7">
        <f t="shared" si="3"/>
        <v>0</v>
      </c>
      <c r="J111" s="354"/>
      <c r="K111" s="354"/>
      <c r="L111" s="348"/>
      <c r="M111" s="347">
        <f t="shared" si="4"/>
        <v>8388.8561250000002</v>
      </c>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7">
        <f t="shared" si="3"/>
        <v>0</v>
      </c>
      <c r="J112" s="354"/>
      <c r="K112" s="354"/>
      <c r="L112" s="348"/>
      <c r="M112" s="347">
        <f t="shared" si="4"/>
        <v>4435.0772399999996</v>
      </c>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7">
        <f t="shared" si="3"/>
        <v>0</v>
      </c>
      <c r="J113" s="354"/>
      <c r="K113" s="354"/>
      <c r="L113" s="348"/>
      <c r="M113" s="347">
        <f t="shared" si="4"/>
        <v>351</v>
      </c>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7">
        <f>J114+K114+L114</f>
        <v>849032.98080000002</v>
      </c>
      <c r="J114" s="347">
        <f>J115+J120+J121+J125+J126+J127</f>
        <v>91604.980800000005</v>
      </c>
      <c r="K114" s="347">
        <f>K115+K120+K121+K125+K126+K127</f>
        <v>587828</v>
      </c>
      <c r="L114" s="348">
        <f>40000+27100+2500+100000</f>
        <v>169600</v>
      </c>
      <c r="M114" s="347">
        <f>H114-I114</f>
        <v>-182382.5371950001</v>
      </c>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56">
        <f t="shared" si="3"/>
        <v>67670</v>
      </c>
      <c r="J115" s="356">
        <f>53029-11440</f>
        <v>41589</v>
      </c>
      <c r="K115" s="356">
        <v>26081</v>
      </c>
      <c r="L115" s="356"/>
      <c r="M115" s="347"/>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 t="shared" si="3"/>
        <v>0</v>
      </c>
      <c r="J116" s="356"/>
      <c r="K116" s="356"/>
      <c r="L116" s="356"/>
      <c r="M116" s="347"/>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 t="shared" si="3"/>
        <v>0</v>
      </c>
      <c r="J117" s="356"/>
      <c r="K117" s="356"/>
      <c r="L117" s="356"/>
      <c r="M117" s="347"/>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 t="shared" si="3"/>
        <v>0</v>
      </c>
      <c r="J118" s="356"/>
      <c r="K118" s="356"/>
      <c r="L118" s="356"/>
      <c r="M118" s="347"/>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 t="shared" si="3"/>
        <v>0</v>
      </c>
      <c r="J119" s="356"/>
      <c r="K119" s="356"/>
      <c r="L119" s="356"/>
      <c r="M119" s="347"/>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56">
        <f t="shared" si="3"/>
        <v>70670</v>
      </c>
      <c r="J120" s="356"/>
      <c r="K120" s="356">
        <v>70670</v>
      </c>
      <c r="L120" s="356"/>
      <c r="M120" s="347"/>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56">
        <f t="shared" si="3"/>
        <v>90698.980800000005</v>
      </c>
      <c r="J121" s="356">
        <f>H121-K121</f>
        <v>29461.980800000005</v>
      </c>
      <c r="K121" s="356">
        <v>61237</v>
      </c>
      <c r="L121" s="356"/>
      <c r="M121" s="347"/>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56">
        <f t="shared" si="3"/>
        <v>0</v>
      </c>
      <c r="J122" s="356"/>
      <c r="K122" s="356"/>
      <c r="L122" s="356"/>
      <c r="M122" s="347"/>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56">
        <f t="shared" si="3"/>
        <v>0</v>
      </c>
      <c r="J123" s="356"/>
      <c r="K123" s="356"/>
      <c r="L123" s="356"/>
      <c r="M123" s="347"/>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56">
        <f t="shared" si="3"/>
        <v>0</v>
      </c>
      <c r="J124" s="356"/>
      <c r="K124" s="356"/>
      <c r="L124" s="356"/>
      <c r="M124" s="347"/>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56">
        <f t="shared" si="3"/>
        <v>422278</v>
      </c>
      <c r="J125" s="356">
        <f>11440+6542</f>
        <v>17982</v>
      </c>
      <c r="K125" s="356">
        <v>404296</v>
      </c>
      <c r="L125" s="356"/>
      <c r="M125" s="347"/>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56">
        <f t="shared" si="3"/>
        <v>17887</v>
      </c>
      <c r="J126" s="356">
        <f>H126-K126</f>
        <v>2572</v>
      </c>
      <c r="K126" s="356">
        <v>15315</v>
      </c>
      <c r="L126" s="356"/>
      <c r="M126" s="347"/>
      <c r="N126" s="99"/>
      <c r="O126" s="99"/>
      <c r="P126" s="99"/>
      <c r="Q126" s="99"/>
      <c r="R126" s="99"/>
      <c r="S126" s="99"/>
      <c r="T126" s="99"/>
      <c r="U126" s="99"/>
      <c r="V126" s="99"/>
      <c r="W126" s="99"/>
      <c r="X126" s="99"/>
      <c r="Y126" s="99"/>
      <c r="Z126" s="99"/>
      <c r="AA126" s="99"/>
      <c r="AB126" s="99"/>
      <c r="AC126" s="99"/>
      <c r="AD126" s="99"/>
    </row>
    <row r="127" spans="1:30" s="100" customFormat="1" ht="31.5">
      <c r="A127" s="352" t="s">
        <v>361</v>
      </c>
      <c r="B127" s="362" t="s">
        <v>436</v>
      </c>
      <c r="C127" s="346"/>
      <c r="D127" s="349"/>
      <c r="E127" s="356"/>
      <c r="F127" s="356"/>
      <c r="G127" s="394"/>
      <c r="H127" s="356"/>
      <c r="I127" s="356">
        <f t="shared" si="3"/>
        <v>10229</v>
      </c>
      <c r="J127" s="356"/>
      <c r="K127" s="356">
        <v>10229</v>
      </c>
      <c r="L127" s="356"/>
      <c r="M127" s="347"/>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7">
        <f>J128+K128+L128</f>
        <v>147607</v>
      </c>
      <c r="J128" s="347">
        <f>J129+J134+J137</f>
        <v>47149</v>
      </c>
      <c r="K128" s="347">
        <f>K129+K134+K137</f>
        <v>24412</v>
      </c>
      <c r="L128" s="348">
        <v>76046</v>
      </c>
      <c r="M128" s="347">
        <f>H128-I128</f>
        <v>-59714.505904999998</v>
      </c>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56">
        <f>J129+K129</f>
        <v>71561</v>
      </c>
      <c r="J129" s="356">
        <f>14820+719+22800+8810</f>
        <v>47149</v>
      </c>
      <c r="K129" s="356">
        <v>24412</v>
      </c>
      <c r="L129" s="348"/>
      <c r="M129" s="347"/>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56">
        <f t="shared" si="3"/>
        <v>0</v>
      </c>
      <c r="J130" s="356"/>
      <c r="K130" s="356"/>
      <c r="L130" s="348"/>
      <c r="M130" s="347"/>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56">
        <f t="shared" si="3"/>
        <v>0</v>
      </c>
      <c r="J131" s="356"/>
      <c r="K131" s="356"/>
      <c r="L131" s="348"/>
      <c r="M131" s="347"/>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56">
        <f t="shared" si="3"/>
        <v>0</v>
      </c>
      <c r="J132" s="356"/>
      <c r="K132" s="356"/>
      <c r="L132" s="348"/>
      <c r="M132" s="347"/>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56">
        <f t="shared" si="3"/>
        <v>0</v>
      </c>
      <c r="J133" s="356"/>
      <c r="K133" s="356"/>
      <c r="L133" s="348"/>
      <c r="M133" s="347"/>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56">
        <f t="shared" si="3"/>
        <v>0</v>
      </c>
      <c r="J134" s="356"/>
      <c r="K134" s="356"/>
      <c r="L134" s="348"/>
      <c r="M134" s="347"/>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56">
        <f t="shared" si="3"/>
        <v>0</v>
      </c>
      <c r="J135" s="356"/>
      <c r="K135" s="356"/>
      <c r="L135" s="348"/>
      <c r="M135" s="347"/>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56">
        <f t="shared" si="3"/>
        <v>0</v>
      </c>
      <c r="J136" s="356"/>
      <c r="K136" s="356"/>
      <c r="L136" s="348"/>
      <c r="M136" s="347"/>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56">
        <f>J137+K137</f>
        <v>0</v>
      </c>
      <c r="J137" s="356"/>
      <c r="K137" s="356"/>
      <c r="L137" s="348"/>
      <c r="M137" s="347"/>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7">
        <f>J138+K138+L138</f>
        <v>63250</v>
      </c>
      <c r="J138" s="347">
        <f>J139+J144+J147</f>
        <v>13200</v>
      </c>
      <c r="K138" s="347">
        <f>K139+K144+K147</f>
        <v>26812</v>
      </c>
      <c r="L138" s="348">
        <v>23238</v>
      </c>
      <c r="M138" s="347">
        <f t="shared" si="4"/>
        <v>-19919.228724999994</v>
      </c>
      <c r="N138" s="95"/>
      <c r="O138" s="95"/>
      <c r="P138" s="95"/>
      <c r="Q138" s="95"/>
      <c r="R138" s="95">
        <v>42160</v>
      </c>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56">
        <f t="shared" si="3"/>
        <v>40012</v>
      </c>
      <c r="J139" s="356">
        <f>10217+2983</f>
        <v>13200</v>
      </c>
      <c r="K139" s="356">
        <v>26812</v>
      </c>
      <c r="L139" s="348"/>
      <c r="M139" s="347"/>
      <c r="N139" s="99"/>
      <c r="O139" s="99"/>
      <c r="P139" s="99"/>
      <c r="Q139" s="99"/>
      <c r="R139" s="99">
        <v>20000</v>
      </c>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56">
        <f t="shared" ref="I140:I177" si="5">J140+K140</f>
        <v>0</v>
      </c>
      <c r="J140" s="356"/>
      <c r="K140" s="356"/>
      <c r="L140" s="348"/>
      <c r="M140" s="347"/>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56">
        <f t="shared" si="5"/>
        <v>0</v>
      </c>
      <c r="J141" s="356"/>
      <c r="K141" s="356"/>
      <c r="L141" s="348"/>
      <c r="M141" s="347"/>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56">
        <f t="shared" si="5"/>
        <v>0</v>
      </c>
      <c r="J142" s="356"/>
      <c r="K142" s="356"/>
      <c r="L142" s="348"/>
      <c r="M142" s="347"/>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56">
        <f t="shared" si="5"/>
        <v>0</v>
      </c>
      <c r="J143" s="356"/>
      <c r="K143" s="356"/>
      <c r="L143" s="348"/>
      <c r="M143" s="347"/>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56">
        <f t="shared" si="5"/>
        <v>0</v>
      </c>
      <c r="J144" s="356"/>
      <c r="K144" s="356"/>
      <c r="L144" s="348"/>
      <c r="M144" s="347"/>
      <c r="N144" s="123"/>
      <c r="O144" s="123"/>
      <c r="P144" s="123"/>
      <c r="Q144" s="123"/>
      <c r="R144" s="123">
        <v>28080</v>
      </c>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56">
        <f t="shared" si="5"/>
        <v>0</v>
      </c>
      <c r="J145" s="356"/>
      <c r="K145" s="356"/>
      <c r="L145" s="348"/>
      <c r="M145" s="347"/>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56">
        <f t="shared" si="5"/>
        <v>0</v>
      </c>
      <c r="J146" s="356"/>
      <c r="K146" s="356"/>
      <c r="L146" s="348"/>
      <c r="M146" s="347"/>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56">
        <f t="shared" si="5"/>
        <v>0</v>
      </c>
      <c r="J147" s="356"/>
      <c r="K147" s="356"/>
      <c r="L147" s="348"/>
      <c r="M147" s="347"/>
      <c r="N147" s="123"/>
      <c r="O147" s="123"/>
      <c r="P147" s="123"/>
      <c r="Q147" s="123"/>
      <c r="R147" s="123">
        <v>7610</v>
      </c>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27290</v>
      </c>
      <c r="I148" s="347">
        <f>J148+K148+L148</f>
        <v>40290</v>
      </c>
      <c r="J148" s="377">
        <f>40290-K148</f>
        <v>37840</v>
      </c>
      <c r="K148" s="347">
        <v>2450</v>
      </c>
      <c r="L148" s="348"/>
      <c r="M148" s="347">
        <f t="shared" ref="M148:M177" si="6">H148-I148</f>
        <v>-13000</v>
      </c>
      <c r="N148" s="95"/>
      <c r="O148" s="95"/>
      <c r="P148" s="95"/>
      <c r="Q148" s="95"/>
      <c r="R148" s="95">
        <f>R138+R139+R144+R147</f>
        <v>97850</v>
      </c>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7">
        <f>J149+K149+L149</f>
        <v>1228419.5</v>
      </c>
      <c r="J149" s="347">
        <f>J150+J151+J157+J158+J159+J160</f>
        <v>231575.5</v>
      </c>
      <c r="K149" s="347">
        <f>K150+K151+K157+K158+K159+K160</f>
        <v>804424</v>
      </c>
      <c r="L149" s="348">
        <f>4000+5220+15200+20000+30000+1500+3600+22160+20000+60000+10000+740</f>
        <v>192420</v>
      </c>
      <c r="M149" s="347">
        <f t="shared" si="6"/>
        <v>-261028</v>
      </c>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56">
        <f t="shared" si="5"/>
        <v>889098</v>
      </c>
      <c r="J150" s="356">
        <f>160384+700</f>
        <v>161084</v>
      </c>
      <c r="K150" s="356">
        <v>728014</v>
      </c>
      <c r="L150" s="356"/>
      <c r="M150" s="347"/>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56">
        <f t="shared" si="5"/>
        <v>0</v>
      </c>
      <c r="J151" s="356">
        <v>0</v>
      </c>
      <c r="K151" s="356">
        <v>0</v>
      </c>
      <c r="L151" s="356"/>
      <c r="M151" s="347"/>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56">
        <f t="shared" si="5"/>
        <v>0</v>
      </c>
      <c r="J152" s="356"/>
      <c r="K152" s="356"/>
      <c r="L152" s="348"/>
      <c r="M152" s="347"/>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56">
        <f t="shared" si="5"/>
        <v>0</v>
      </c>
      <c r="J153" s="356"/>
      <c r="K153" s="356"/>
      <c r="L153" s="348"/>
      <c r="M153" s="347"/>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56">
        <f t="shared" si="5"/>
        <v>0</v>
      </c>
      <c r="J154" s="356"/>
      <c r="K154" s="356"/>
      <c r="L154" s="348"/>
      <c r="M154" s="347"/>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56">
        <f t="shared" si="5"/>
        <v>0</v>
      </c>
      <c r="J155" s="356"/>
      <c r="K155" s="356"/>
      <c r="L155" s="348"/>
      <c r="M155" s="347"/>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56">
        <f t="shared" si="5"/>
        <v>0</v>
      </c>
      <c r="J156" s="356"/>
      <c r="K156" s="356"/>
      <c r="L156" s="348"/>
      <c r="M156" s="347"/>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56">
        <f t="shared" si="5"/>
        <v>87641</v>
      </c>
      <c r="J157" s="356">
        <f>H157-K157</f>
        <v>58091</v>
      </c>
      <c r="K157" s="356">
        <v>29550</v>
      </c>
      <c r="L157" s="348"/>
      <c r="M157" s="347"/>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56">
        <f t="shared" si="5"/>
        <v>53260.5</v>
      </c>
      <c r="J158" s="356">
        <f>H158-K158</f>
        <v>6400.5</v>
      </c>
      <c r="K158" s="356">
        <v>46860</v>
      </c>
      <c r="L158" s="348"/>
      <c r="M158" s="347"/>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56">
        <f t="shared" si="5"/>
        <v>0</v>
      </c>
      <c r="J159" s="356"/>
      <c r="K159" s="356"/>
      <c r="L159" s="348"/>
      <c r="M159" s="347"/>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56">
        <f t="shared" si="5"/>
        <v>6000</v>
      </c>
      <c r="J160" s="356">
        <v>6000</v>
      </c>
      <c r="K160" s="356"/>
      <c r="L160" s="348"/>
      <c r="M160" s="347"/>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7">
        <f>J161+K161+L161</f>
        <v>98143</v>
      </c>
      <c r="J161" s="377">
        <f>35090+400</f>
        <v>35490</v>
      </c>
      <c r="K161" s="347">
        <v>62653</v>
      </c>
      <c r="L161" s="348"/>
      <c r="M161" s="347">
        <f t="shared" si="6"/>
        <v>52407</v>
      </c>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7">
        <f t="shared" si="5"/>
        <v>0</v>
      </c>
      <c r="J162" s="349"/>
      <c r="K162" s="349"/>
      <c r="L162" s="348"/>
      <c r="M162" s="347">
        <f t="shared" si="6"/>
        <v>0</v>
      </c>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7">
        <f t="shared" si="5"/>
        <v>0</v>
      </c>
      <c r="J163" s="402"/>
      <c r="K163" s="402"/>
      <c r="L163" s="348"/>
      <c r="M163" s="347">
        <f t="shared" si="6"/>
        <v>0</v>
      </c>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7">
        <f t="shared" si="5"/>
        <v>0</v>
      </c>
      <c r="J164" s="354"/>
      <c r="K164" s="354"/>
      <c r="L164" s="348"/>
      <c r="M164" s="347">
        <f t="shared" si="6"/>
        <v>0</v>
      </c>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7">
        <f t="shared" si="5"/>
        <v>0</v>
      </c>
      <c r="J165" s="354"/>
      <c r="K165" s="354"/>
      <c r="L165" s="348"/>
      <c r="M165" s="347">
        <f t="shared" si="6"/>
        <v>0</v>
      </c>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7">
        <f t="shared" si="5"/>
        <v>0</v>
      </c>
      <c r="J166" s="354"/>
      <c r="K166" s="354"/>
      <c r="L166" s="348"/>
      <c r="M166" s="347">
        <f t="shared" si="6"/>
        <v>0</v>
      </c>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7">
        <f t="shared" si="5"/>
        <v>0</v>
      </c>
      <c r="J167" s="354"/>
      <c r="K167" s="354"/>
      <c r="L167" s="348"/>
      <c r="M167" s="347">
        <f t="shared" si="6"/>
        <v>0</v>
      </c>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7">
        <f t="shared" si="5"/>
        <v>0</v>
      </c>
      <c r="J168" s="402"/>
      <c r="K168" s="402"/>
      <c r="L168" s="348"/>
      <c r="M168" s="347">
        <f t="shared" si="6"/>
        <v>0</v>
      </c>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7">
        <f t="shared" si="5"/>
        <v>0</v>
      </c>
      <c r="J169" s="354"/>
      <c r="K169" s="354"/>
      <c r="L169" s="348"/>
      <c r="M169" s="347">
        <f t="shared" si="6"/>
        <v>0</v>
      </c>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7">
        <f t="shared" si="5"/>
        <v>0</v>
      </c>
      <c r="J170" s="354"/>
      <c r="K170" s="354"/>
      <c r="L170" s="348"/>
      <c r="M170" s="347">
        <f t="shared" si="6"/>
        <v>0</v>
      </c>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7">
        <f t="shared" si="5"/>
        <v>0</v>
      </c>
      <c r="J171" s="349"/>
      <c r="K171" s="349"/>
      <c r="L171" s="348"/>
      <c r="M171" s="347">
        <f t="shared" si="6"/>
        <v>0</v>
      </c>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7">
        <f t="shared" si="5"/>
        <v>0</v>
      </c>
      <c r="J172" s="349"/>
      <c r="K172" s="349"/>
      <c r="L172" s="348"/>
      <c r="M172" s="347">
        <f t="shared" si="6"/>
        <v>0</v>
      </c>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7">
        <f t="shared" si="5"/>
        <v>0</v>
      </c>
      <c r="J173" s="349"/>
      <c r="K173" s="349"/>
      <c r="L173" s="348"/>
      <c r="M173" s="347">
        <f t="shared" si="6"/>
        <v>0</v>
      </c>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7">
        <f>J174+K174+L174</f>
        <v>40971</v>
      </c>
      <c r="J174" s="377">
        <v>16356</v>
      </c>
      <c r="K174" s="347">
        <v>24615</v>
      </c>
      <c r="L174" s="348"/>
      <c r="M174" s="347">
        <f t="shared" si="6"/>
        <v>11789</v>
      </c>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7">
        <f t="shared" si="5"/>
        <v>0</v>
      </c>
      <c r="J175" s="349"/>
      <c r="K175" s="349"/>
      <c r="L175" s="348"/>
      <c r="M175" s="347">
        <f t="shared" si="6"/>
        <v>41560</v>
      </c>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7">
        <f t="shared" si="5"/>
        <v>0</v>
      </c>
      <c r="J176" s="349"/>
      <c r="K176" s="349"/>
      <c r="L176" s="348"/>
      <c r="M176" s="347">
        <f t="shared" si="6"/>
        <v>11200</v>
      </c>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v>1937842</v>
      </c>
      <c r="I177" s="347">
        <f t="shared" si="5"/>
        <v>0</v>
      </c>
      <c r="J177" s="377"/>
      <c r="K177" s="347"/>
      <c r="L177" s="348"/>
      <c r="M177" s="347">
        <f t="shared" si="6"/>
        <v>1937842</v>
      </c>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354"/>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354"/>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356"/>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354"/>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354"/>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354"/>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354"/>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354"/>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354"/>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418"/>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s="106" customFormat="1" ht="15.75">
      <c r="A189" s="470" t="s">
        <v>18</v>
      </c>
      <c r="B189" s="470" t="s">
        <v>408</v>
      </c>
      <c r="C189" s="105"/>
      <c r="D189" s="105"/>
      <c r="E189" s="105"/>
      <c r="F189" s="105"/>
      <c r="G189" s="105"/>
      <c r="H189" s="105">
        <v>245080</v>
      </c>
      <c r="I189" s="105">
        <f>J189+K189</f>
        <v>245080</v>
      </c>
      <c r="J189" s="105">
        <f>H189-K189</f>
        <v>139485</v>
      </c>
      <c r="K189" s="105">
        <v>105595</v>
      </c>
      <c r="L189" s="105"/>
      <c r="M189" s="105"/>
      <c r="N189" s="105"/>
      <c r="O189" s="105"/>
      <c r="P189" s="105"/>
      <c r="Q189" s="105"/>
      <c r="R189" s="105"/>
      <c r="S189" s="105"/>
      <c r="T189" s="105"/>
      <c r="U189" s="105"/>
      <c r="V189" s="105"/>
      <c r="W189" s="105"/>
      <c r="X189" s="105"/>
      <c r="Y189" s="105"/>
      <c r="Z189" s="105"/>
      <c r="AA189" s="105"/>
      <c r="AB189" s="105"/>
      <c r="AC189" s="105"/>
      <c r="AD189" s="105"/>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2">
    <mergeCell ref="M6:M8"/>
    <mergeCell ref="A2:M2"/>
    <mergeCell ref="A3:M3"/>
    <mergeCell ref="A6:A8"/>
    <mergeCell ref="B6:B8"/>
    <mergeCell ref="C6:C8"/>
    <mergeCell ref="D6:D8"/>
    <mergeCell ref="E6:E8"/>
    <mergeCell ref="F6:F8"/>
    <mergeCell ref="L6:L8"/>
    <mergeCell ref="J6:K6"/>
    <mergeCell ref="J7:J8"/>
    <mergeCell ref="K7:K8"/>
    <mergeCell ref="H6:H8"/>
    <mergeCell ref="B186:D186"/>
    <mergeCell ref="B182:D182"/>
    <mergeCell ref="I6:I8"/>
    <mergeCell ref="B181:D181"/>
    <mergeCell ref="G6:G8"/>
    <mergeCell ref="B183:D183"/>
    <mergeCell ref="B184:D184"/>
    <mergeCell ref="B185:D185"/>
  </mergeCells>
  <pageMargins left="0.31496062992125984" right="0" top="0.55118110236220474" bottom="0.55118110236220474" header="0.31496062992125984" footer="0.31496062992125984"/>
  <pageSetup paperSize="9" scale="80"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5"/>
  <sheetViews>
    <sheetView zoomScale="85" zoomScaleNormal="85" workbookViewId="0">
      <pane xSplit="1" ySplit="8" topLeftCell="B9" activePane="bottomRight" state="frozen"/>
      <selection activeCell="D49" sqref="D49"/>
      <selection pane="topRight" activeCell="D49" sqref="D49"/>
      <selection pane="bottomLeft" activeCell="D49" sqref="D49"/>
      <selection pane="bottomRight" activeCell="M10" sqref="M10"/>
    </sheetView>
  </sheetViews>
  <sheetFormatPr defaultRowHeight="16.5"/>
  <cols>
    <col min="1" max="1" width="72.85546875" style="50" customWidth="1"/>
    <col min="2" max="2" width="13.42578125" customWidth="1"/>
    <col min="3" max="3" width="12.85546875" customWidth="1"/>
    <col min="4" max="4" width="13.28515625" customWidth="1"/>
    <col min="5" max="5" width="10.5703125" hidden="1" customWidth="1"/>
    <col min="6" max="6" width="14.7109375" customWidth="1"/>
    <col min="7" max="7" width="15" customWidth="1"/>
    <col min="8" max="8" width="11.85546875" customWidth="1"/>
    <col min="9" max="9" width="10" hidden="1" customWidth="1"/>
    <col min="10" max="10" width="10.42578125" customWidth="1"/>
    <col min="11" max="11" width="11" customWidth="1"/>
    <col min="14" max="14" width="10.28515625" bestFit="1" customWidth="1"/>
  </cols>
  <sheetData>
    <row r="1" spans="1:14">
      <c r="E1" s="987" t="s">
        <v>200</v>
      </c>
      <c r="F1" s="987"/>
      <c r="G1" s="207">
        <v>33</v>
      </c>
    </row>
    <row r="2" spans="1:14" ht="17.25">
      <c r="A2" s="990" t="s">
        <v>26</v>
      </c>
      <c r="B2" s="990"/>
      <c r="C2" s="991"/>
      <c r="D2" s="991"/>
      <c r="E2" s="991"/>
      <c r="F2" s="991"/>
      <c r="G2" s="991"/>
      <c r="H2" s="991"/>
      <c r="I2" s="991"/>
      <c r="J2" s="991"/>
      <c r="K2" s="991"/>
    </row>
    <row r="3" spans="1:14" ht="17.25">
      <c r="A3" s="990" t="str">
        <f>+'chi 2016 xac định lại'!A3:G3</f>
        <v>Quảng Nam</v>
      </c>
      <c r="B3" s="990"/>
      <c r="C3" s="990"/>
      <c r="D3" s="990"/>
      <c r="E3" s="990"/>
      <c r="F3" s="990"/>
      <c r="G3" s="990"/>
      <c r="H3" s="990"/>
      <c r="I3" s="990"/>
      <c r="J3" s="990"/>
      <c r="K3" s="990"/>
    </row>
    <row r="4" spans="1:14" ht="17.25">
      <c r="A4" s="40"/>
      <c r="B4" s="1"/>
      <c r="C4" s="1"/>
      <c r="D4" s="1"/>
      <c r="E4" s="1"/>
      <c r="F4" s="1"/>
      <c r="G4" s="1"/>
      <c r="H4" s="1"/>
      <c r="I4" s="1"/>
      <c r="J4" s="1"/>
      <c r="K4" s="1"/>
    </row>
    <row r="5" spans="1:14" ht="18.75" thickBot="1">
      <c r="A5" s="41"/>
      <c r="B5" s="2"/>
      <c r="C5" s="2"/>
      <c r="D5" s="2"/>
      <c r="E5" s="2"/>
      <c r="F5" s="2"/>
      <c r="G5" s="2"/>
      <c r="H5" s="2"/>
      <c r="I5" s="2"/>
      <c r="J5" s="992" t="s">
        <v>0</v>
      </c>
      <c r="K5" s="992"/>
    </row>
    <row r="6" spans="1:14" s="32" customFormat="1" ht="28.5" customHeight="1">
      <c r="A6" s="993" t="s">
        <v>1</v>
      </c>
      <c r="B6" s="983" t="s">
        <v>27</v>
      </c>
      <c r="C6" s="983" t="s">
        <v>212</v>
      </c>
      <c r="D6" s="995" t="s">
        <v>28</v>
      </c>
      <c r="E6" s="995"/>
      <c r="F6" s="995" t="s">
        <v>29</v>
      </c>
      <c r="G6" s="995"/>
      <c r="H6" s="985" t="s">
        <v>2</v>
      </c>
      <c r="I6" s="985"/>
      <c r="J6" s="985"/>
      <c r="K6" s="986"/>
    </row>
    <row r="7" spans="1:14" s="32" customFormat="1" ht="57.75" customHeight="1">
      <c r="A7" s="994"/>
      <c r="B7" s="984"/>
      <c r="C7" s="984"/>
      <c r="D7" s="33" t="s">
        <v>9</v>
      </c>
      <c r="E7" s="33" t="s">
        <v>3</v>
      </c>
      <c r="F7" s="33" t="s">
        <v>9</v>
      </c>
      <c r="G7" s="33" t="s">
        <v>3</v>
      </c>
      <c r="H7" s="33" t="s">
        <v>348</v>
      </c>
      <c r="I7" s="33" t="s">
        <v>30</v>
      </c>
      <c r="J7" s="34" t="s">
        <v>349</v>
      </c>
      <c r="K7" s="35" t="s">
        <v>31</v>
      </c>
    </row>
    <row r="8" spans="1:14" s="39" customFormat="1" ht="16.5" customHeight="1">
      <c r="A8" s="42">
        <v>1</v>
      </c>
      <c r="B8" s="36">
        <v>2</v>
      </c>
      <c r="C8" s="36">
        <v>3</v>
      </c>
      <c r="D8" s="36">
        <v>4</v>
      </c>
      <c r="E8" s="36">
        <v>5</v>
      </c>
      <c r="F8" s="36">
        <v>6</v>
      </c>
      <c r="G8" s="36">
        <v>7</v>
      </c>
      <c r="H8" s="36" t="s">
        <v>241</v>
      </c>
      <c r="I8" s="36" t="s">
        <v>242</v>
      </c>
      <c r="J8" s="37" t="s">
        <v>243</v>
      </c>
      <c r="K8" s="38" t="s">
        <v>244</v>
      </c>
    </row>
    <row r="9" spans="1:14" s="23" customFormat="1" ht="17.25">
      <c r="A9" s="43" t="s">
        <v>33</v>
      </c>
      <c r="B9" s="313">
        <v>13791931</v>
      </c>
      <c r="C9" s="313">
        <v>13791931</v>
      </c>
      <c r="D9" s="313">
        <v>18252341</v>
      </c>
      <c r="E9" s="313">
        <v>0</v>
      </c>
      <c r="F9" s="313">
        <v>15739270</v>
      </c>
      <c r="G9" s="313">
        <v>12497270</v>
      </c>
      <c r="H9" s="14"/>
      <c r="I9" s="14"/>
      <c r="J9" s="14"/>
      <c r="K9" s="15"/>
    </row>
    <row r="10" spans="1:14" ht="17.25">
      <c r="A10" s="44" t="s">
        <v>4</v>
      </c>
      <c r="B10" s="314">
        <v>8760500</v>
      </c>
      <c r="C10" s="314">
        <v>8760500</v>
      </c>
      <c r="D10" s="314">
        <v>13220910</v>
      </c>
      <c r="E10" s="314">
        <v>0</v>
      </c>
      <c r="F10" s="314">
        <v>15739270</v>
      </c>
      <c r="G10" s="314">
        <v>12497270</v>
      </c>
      <c r="H10" s="16"/>
      <c r="I10" s="16"/>
      <c r="J10" s="16"/>
      <c r="K10" s="17"/>
    </row>
    <row r="11" spans="1:14" ht="18.75">
      <c r="A11" s="45" t="s">
        <v>10</v>
      </c>
      <c r="B11" s="315">
        <v>1182410</v>
      </c>
      <c r="C11" s="211">
        <v>1182410</v>
      </c>
      <c r="D11" s="11">
        <v>1250810</v>
      </c>
      <c r="E11" s="11"/>
      <c r="F11" s="211">
        <v>1368270</v>
      </c>
      <c r="G11" s="211">
        <v>1368270</v>
      </c>
      <c r="H11" s="10"/>
      <c r="I11" s="10"/>
      <c r="J11" s="10"/>
      <c r="K11" s="13"/>
      <c r="N11" s="316">
        <f>B10+B18</f>
        <v>11030905</v>
      </c>
    </row>
    <row r="12" spans="1:14" ht="18.75">
      <c r="A12" s="45" t="s">
        <v>342</v>
      </c>
      <c r="B12" s="315">
        <v>7578090</v>
      </c>
      <c r="C12" s="211">
        <v>7578090</v>
      </c>
      <c r="D12" s="11">
        <v>11970100</v>
      </c>
      <c r="E12" s="11"/>
      <c r="F12" s="211">
        <v>14371000</v>
      </c>
      <c r="G12" s="211">
        <v>11129000</v>
      </c>
      <c r="H12" s="10"/>
      <c r="I12" s="10"/>
      <c r="J12" s="10"/>
      <c r="K12" s="13"/>
    </row>
    <row r="13" spans="1:14" ht="18.75">
      <c r="A13" s="306" t="s">
        <v>343</v>
      </c>
      <c r="B13" s="315"/>
      <c r="C13" s="211"/>
      <c r="D13" s="11"/>
      <c r="E13" s="11"/>
      <c r="F13" s="211">
        <v>0</v>
      </c>
      <c r="G13" s="211"/>
      <c r="H13" s="10"/>
      <c r="I13" s="10"/>
      <c r="J13" s="10"/>
      <c r="K13" s="13"/>
    </row>
    <row r="14" spans="1:14" ht="18.75">
      <c r="A14" s="306" t="s">
        <v>344</v>
      </c>
      <c r="B14" s="315"/>
      <c r="C14" s="211"/>
      <c r="D14" s="11"/>
      <c r="E14" s="11"/>
      <c r="F14" s="211"/>
      <c r="G14" s="211"/>
      <c r="H14" s="10"/>
      <c r="I14" s="10"/>
      <c r="J14" s="10"/>
      <c r="K14" s="13"/>
    </row>
    <row r="15" spans="1:14" ht="18.75">
      <c r="A15" s="306" t="s">
        <v>345</v>
      </c>
      <c r="B15" s="315"/>
      <c r="C15" s="211"/>
      <c r="D15" s="11"/>
      <c r="E15" s="11"/>
      <c r="F15" s="325"/>
      <c r="G15" s="211"/>
      <c r="H15" s="10"/>
      <c r="I15" s="10"/>
      <c r="J15" s="10"/>
      <c r="K15" s="13"/>
    </row>
    <row r="16" spans="1:14" ht="18.75">
      <c r="A16" s="45" t="s">
        <v>183</v>
      </c>
      <c r="B16" s="315"/>
      <c r="C16" s="211"/>
      <c r="D16" s="11"/>
      <c r="E16" s="11"/>
      <c r="F16" s="324"/>
      <c r="G16" s="211"/>
      <c r="H16" s="10"/>
      <c r="I16" s="10"/>
      <c r="J16" s="10"/>
      <c r="K16" s="13"/>
    </row>
    <row r="17" spans="1:11" ht="17.25">
      <c r="A17" s="44" t="s">
        <v>5</v>
      </c>
      <c r="B17" s="314">
        <v>5031431</v>
      </c>
      <c r="C17" s="314">
        <v>5031431</v>
      </c>
      <c r="D17" s="314">
        <v>5031431</v>
      </c>
      <c r="E17" s="314">
        <v>0</v>
      </c>
      <c r="F17" s="314">
        <v>0</v>
      </c>
      <c r="G17" s="314">
        <v>0</v>
      </c>
      <c r="H17" s="16"/>
      <c r="I17" s="16"/>
      <c r="J17" s="16"/>
      <c r="K17" s="17"/>
    </row>
    <row r="18" spans="1:11" ht="18.75">
      <c r="A18" s="45" t="s">
        <v>6</v>
      </c>
      <c r="B18" s="315">
        <v>2270405</v>
      </c>
      <c r="C18" s="211">
        <v>2270405</v>
      </c>
      <c r="D18" s="11">
        <v>2270405</v>
      </c>
      <c r="E18" s="11"/>
      <c r="F18" s="211"/>
      <c r="G18" s="211"/>
      <c r="H18" s="10"/>
      <c r="I18" s="10"/>
      <c r="J18" s="10"/>
      <c r="K18" s="13"/>
    </row>
    <row r="19" spans="1:11" ht="18.75">
      <c r="A19" s="45" t="s">
        <v>184</v>
      </c>
      <c r="B19" s="315"/>
      <c r="C19" s="211"/>
      <c r="D19" s="11"/>
      <c r="E19" s="11"/>
      <c r="F19" s="211"/>
      <c r="G19" s="211"/>
      <c r="H19" s="10"/>
      <c r="I19" s="10"/>
      <c r="J19" s="10"/>
      <c r="K19" s="13"/>
    </row>
    <row r="20" spans="1:11" ht="18.75">
      <c r="A20" s="45" t="s">
        <v>185</v>
      </c>
      <c r="B20" s="315">
        <v>2761026</v>
      </c>
      <c r="C20" s="211">
        <v>2761026</v>
      </c>
      <c r="D20" s="11">
        <v>2761026</v>
      </c>
      <c r="E20" s="11"/>
      <c r="F20" s="211"/>
      <c r="G20" s="211"/>
      <c r="H20" s="10"/>
      <c r="I20" s="10"/>
      <c r="J20" s="10"/>
      <c r="K20" s="13"/>
    </row>
    <row r="21" spans="1:11" s="23" customFormat="1" ht="18.75">
      <c r="A21" s="46" t="s">
        <v>213</v>
      </c>
      <c r="B21" s="206">
        <v>11030904.588404126</v>
      </c>
      <c r="C21" s="206">
        <v>12543834.447564127</v>
      </c>
      <c r="D21" s="12">
        <v>12052984.839783229</v>
      </c>
      <c r="E21" s="12"/>
      <c r="F21" s="210">
        <v>11713867.039737988</v>
      </c>
      <c r="G21" s="210">
        <v>16080980</v>
      </c>
      <c r="H21" s="317">
        <f>D21/B21*100</f>
        <v>109.26560685198501</v>
      </c>
      <c r="I21" s="317"/>
      <c r="J21" s="317">
        <f>F21/C21*100</f>
        <v>93.383463315818005</v>
      </c>
      <c r="K21" s="318">
        <f>G21/C21*100</f>
        <v>128.19827993762104</v>
      </c>
    </row>
    <row r="22" spans="1:11" s="27" customFormat="1" ht="18.75">
      <c r="A22" s="47" t="s">
        <v>14</v>
      </c>
      <c r="B22" s="206">
        <v>930354.7486208973</v>
      </c>
      <c r="C22" s="209">
        <v>930354.7486208973</v>
      </c>
      <c r="D22" s="28"/>
      <c r="E22" s="28"/>
      <c r="F22" s="209"/>
      <c r="G22" s="209"/>
      <c r="H22" s="317"/>
      <c r="I22" s="319"/>
      <c r="J22" s="317"/>
      <c r="K22" s="318"/>
    </row>
    <row r="23" spans="1:11" s="27" customFormat="1" ht="18.75">
      <c r="A23" s="47" t="s">
        <v>15</v>
      </c>
      <c r="B23" s="206">
        <v>1218800</v>
      </c>
      <c r="C23" s="209">
        <v>1218800</v>
      </c>
      <c r="D23" s="24">
        <v>1218800</v>
      </c>
      <c r="E23" s="24"/>
      <c r="F23" s="210">
        <v>1360680</v>
      </c>
      <c r="G23" s="210">
        <v>2634000</v>
      </c>
      <c r="H23" s="317">
        <f t="shared" ref="H23:H41" si="0">D23/B23*100</f>
        <v>100</v>
      </c>
      <c r="I23" s="320"/>
      <c r="J23" s="317">
        <f t="shared" ref="J23:J32" si="1">F23/C23*100</f>
        <v>111.64095831965868</v>
      </c>
      <c r="K23" s="318">
        <f t="shared" ref="K23:K30" si="2">G23/C23*100</f>
        <v>216.11421069904827</v>
      </c>
    </row>
    <row r="24" spans="1:11" s="20" customFormat="1" ht="18.75">
      <c r="A24" s="45" t="s">
        <v>7</v>
      </c>
      <c r="B24" s="208">
        <v>718800</v>
      </c>
      <c r="C24" s="211">
        <v>718800</v>
      </c>
      <c r="D24" s="19">
        <v>718800</v>
      </c>
      <c r="E24" s="19"/>
      <c r="F24" s="211">
        <v>790680.00000000012</v>
      </c>
      <c r="G24" s="211">
        <v>827000</v>
      </c>
      <c r="H24" s="322">
        <f t="shared" si="0"/>
        <v>100</v>
      </c>
      <c r="I24" s="321"/>
      <c r="J24" s="322">
        <f t="shared" si="1"/>
        <v>110.00000000000001</v>
      </c>
      <c r="K24" s="323">
        <f t="shared" si="2"/>
        <v>115.05286588759043</v>
      </c>
    </row>
    <row r="25" spans="1:11" s="20" customFormat="1" ht="18.75">
      <c r="A25" s="306" t="s">
        <v>346</v>
      </c>
      <c r="B25" s="208"/>
      <c r="C25" s="211"/>
      <c r="D25" s="19"/>
      <c r="E25" s="19"/>
      <c r="F25" s="211"/>
      <c r="G25" s="211"/>
      <c r="H25" s="322"/>
      <c r="I25" s="321"/>
      <c r="J25" s="322"/>
      <c r="K25" s="323"/>
    </row>
    <row r="26" spans="1:11" s="20" customFormat="1" ht="18.75">
      <c r="A26" s="45" t="s">
        <v>8</v>
      </c>
      <c r="B26" s="208">
        <v>500000</v>
      </c>
      <c r="C26" s="211">
        <v>500000</v>
      </c>
      <c r="D26" s="19">
        <v>500000</v>
      </c>
      <c r="E26" s="19"/>
      <c r="F26" s="211">
        <v>500000</v>
      </c>
      <c r="G26" s="211">
        <v>500000</v>
      </c>
      <c r="H26" s="322">
        <f t="shared" si="0"/>
        <v>100</v>
      </c>
      <c r="I26" s="321"/>
      <c r="J26" s="322">
        <f t="shared" si="1"/>
        <v>100</v>
      </c>
      <c r="K26" s="323">
        <f t="shared" si="2"/>
        <v>100</v>
      </c>
    </row>
    <row r="27" spans="1:11" s="20" customFormat="1" ht="18.75">
      <c r="A27" s="45" t="s">
        <v>32</v>
      </c>
      <c r="B27" s="208"/>
      <c r="C27" s="211"/>
      <c r="D27" s="19"/>
      <c r="E27" s="19"/>
      <c r="F27" s="211">
        <v>70000</v>
      </c>
      <c r="G27" s="211">
        <v>70000</v>
      </c>
      <c r="H27" s="317"/>
      <c r="I27" s="321"/>
      <c r="J27" s="317"/>
      <c r="K27" s="318"/>
    </row>
    <row r="28" spans="1:11" s="27" customFormat="1" ht="18.75">
      <c r="A28" s="47" t="s">
        <v>16</v>
      </c>
      <c r="B28" s="206">
        <v>8604529.8397832289</v>
      </c>
      <c r="C28" s="206">
        <v>10117459.698943229</v>
      </c>
      <c r="D28" s="24">
        <v>10832734.839783229</v>
      </c>
      <c r="E28" s="24"/>
      <c r="F28" s="210">
        <v>10117459.698943229</v>
      </c>
      <c r="G28" s="210">
        <v>13010000</v>
      </c>
      <c r="H28" s="317">
        <f t="shared" si="0"/>
        <v>125.89572052731862</v>
      </c>
      <c r="I28" s="320"/>
      <c r="J28" s="317">
        <f t="shared" si="1"/>
        <v>100</v>
      </c>
      <c r="K28" s="318">
        <f t="shared" si="2"/>
        <v>128.58959054078463</v>
      </c>
    </row>
    <row r="29" spans="1:11" s="27" customFormat="1" ht="18.75" hidden="1">
      <c r="A29" s="62" t="s">
        <v>21</v>
      </c>
      <c r="B29" s="30"/>
      <c r="C29" s="210"/>
      <c r="D29" s="24"/>
      <c r="E29" s="24"/>
      <c r="F29" s="210">
        <v>87892.494095000002</v>
      </c>
      <c r="G29" s="210">
        <v>87892.494095000002</v>
      </c>
      <c r="H29" s="317" t="e">
        <f t="shared" si="0"/>
        <v>#DIV/0!</v>
      </c>
      <c r="I29" s="320"/>
      <c r="J29" s="317" t="e">
        <f t="shared" si="1"/>
        <v>#DIV/0!</v>
      </c>
      <c r="K29" s="318" t="e">
        <f t="shared" si="2"/>
        <v>#DIV/0!</v>
      </c>
    </row>
    <row r="30" spans="1:11" s="27" customFormat="1" ht="18.75" hidden="1">
      <c r="A30" s="62" t="s">
        <v>22</v>
      </c>
      <c r="B30" s="30"/>
      <c r="C30" s="210"/>
      <c r="D30" s="24"/>
      <c r="E30" s="24"/>
      <c r="F30" s="210">
        <v>43330.771275000006</v>
      </c>
      <c r="G30" s="210">
        <v>43330.771275000006</v>
      </c>
      <c r="H30" s="317" t="e">
        <f t="shared" si="0"/>
        <v>#DIV/0!</v>
      </c>
      <c r="I30" s="320"/>
      <c r="J30" s="317" t="e">
        <f t="shared" si="1"/>
        <v>#DIV/0!</v>
      </c>
      <c r="K30" s="318" t="e">
        <f t="shared" si="2"/>
        <v>#DIV/0!</v>
      </c>
    </row>
    <row r="31" spans="1:11" s="27" customFormat="1" ht="18.75">
      <c r="A31" s="213" t="s">
        <v>228</v>
      </c>
      <c r="B31" s="206">
        <v>3573000</v>
      </c>
      <c r="C31" s="209">
        <v>3939757.8465529997</v>
      </c>
      <c r="D31" s="24"/>
      <c r="E31" s="24"/>
      <c r="F31" s="210">
        <v>3939757.8465529997</v>
      </c>
      <c r="G31" s="210"/>
      <c r="H31" s="322"/>
      <c r="I31" s="321"/>
      <c r="J31" s="322">
        <f t="shared" si="1"/>
        <v>100</v>
      </c>
      <c r="K31" s="323"/>
    </row>
    <row r="32" spans="1:11" s="27" customFormat="1" ht="18.75">
      <c r="A32" s="213" t="s">
        <v>229</v>
      </c>
      <c r="B32" s="30">
        <v>24630</v>
      </c>
      <c r="C32" s="209">
        <v>25743.006637873648</v>
      </c>
      <c r="D32" s="24"/>
      <c r="E32" s="24"/>
      <c r="F32" s="210">
        <v>25743.006637873648</v>
      </c>
      <c r="G32" s="210">
        <v>957979.84716</v>
      </c>
      <c r="H32" s="322"/>
      <c r="I32" s="321"/>
      <c r="J32" s="322">
        <f t="shared" si="1"/>
        <v>100</v>
      </c>
      <c r="K32" s="323"/>
    </row>
    <row r="33" spans="1:11" s="27" customFormat="1" ht="18.75" hidden="1">
      <c r="A33" s="213" t="s">
        <v>230</v>
      </c>
      <c r="B33" s="206"/>
      <c r="C33" s="209"/>
      <c r="D33" s="24"/>
      <c r="E33" s="24"/>
      <c r="F33" s="210"/>
      <c r="G33" s="210">
        <v>25743.006637873648</v>
      </c>
      <c r="H33" s="14" t="e">
        <f t="shared" si="0"/>
        <v>#DIV/0!</v>
      </c>
      <c r="I33" s="25"/>
      <c r="J33" s="25"/>
      <c r="K33" s="26"/>
    </row>
    <row r="34" spans="1:11" s="27" customFormat="1" ht="18.75" hidden="1">
      <c r="A34" s="213" t="s">
        <v>231</v>
      </c>
      <c r="B34" s="30"/>
      <c r="C34" s="210"/>
      <c r="D34" s="24"/>
      <c r="E34" s="24"/>
      <c r="F34" s="210">
        <v>78048.807409999994</v>
      </c>
      <c r="G34" s="210">
        <v>78048.807409999994</v>
      </c>
      <c r="H34" s="14" t="e">
        <f t="shared" si="0"/>
        <v>#DIV/0!</v>
      </c>
      <c r="I34" s="25"/>
      <c r="J34" s="25"/>
      <c r="K34" s="26"/>
    </row>
    <row r="35" spans="1:11" s="27" customFormat="1" ht="18.75" hidden="1">
      <c r="A35" s="213" t="s">
        <v>232</v>
      </c>
      <c r="B35" s="30"/>
      <c r="C35" s="210"/>
      <c r="D35" s="24"/>
      <c r="E35" s="24"/>
      <c r="F35" s="210">
        <v>41570.41188</v>
      </c>
      <c r="G35" s="210">
        <v>41570.41188</v>
      </c>
      <c r="H35" s="14" t="e">
        <f t="shared" si="0"/>
        <v>#DIV/0!</v>
      </c>
      <c r="I35" s="25"/>
      <c r="J35" s="25"/>
      <c r="K35" s="26"/>
    </row>
    <row r="36" spans="1:11" s="27" customFormat="1" ht="18.75" hidden="1">
      <c r="A36" s="213" t="s">
        <v>23</v>
      </c>
      <c r="B36" s="30"/>
      <c r="C36" s="210"/>
      <c r="D36" s="24"/>
      <c r="E36" s="24"/>
      <c r="F36" s="210">
        <v>34186.852035000004</v>
      </c>
      <c r="G36" s="210">
        <v>34186.852035000004</v>
      </c>
      <c r="H36" s="14" t="e">
        <f t="shared" si="0"/>
        <v>#DIV/0!</v>
      </c>
      <c r="I36" s="25"/>
      <c r="J36" s="25"/>
      <c r="K36" s="26"/>
    </row>
    <row r="37" spans="1:11" s="27" customFormat="1" ht="18.75" hidden="1">
      <c r="A37" s="213" t="s">
        <v>233</v>
      </c>
      <c r="B37" s="30"/>
      <c r="C37" s="210"/>
      <c r="D37" s="24"/>
      <c r="E37" s="24"/>
      <c r="F37" s="210">
        <v>666650.44360499992</v>
      </c>
      <c r="G37" s="210">
        <v>666650.44360499992</v>
      </c>
      <c r="H37" s="14" t="e">
        <f t="shared" si="0"/>
        <v>#DIV/0!</v>
      </c>
      <c r="I37" s="25"/>
      <c r="J37" s="25"/>
      <c r="K37" s="26"/>
    </row>
    <row r="38" spans="1:11" s="27" customFormat="1" ht="18.75" hidden="1">
      <c r="A38" s="213" t="s">
        <v>234</v>
      </c>
      <c r="B38" s="30"/>
      <c r="C38" s="210"/>
      <c r="D38" s="24"/>
      <c r="E38" s="24"/>
      <c r="F38" s="210">
        <v>933641.5</v>
      </c>
      <c r="G38" s="210">
        <v>933641.5</v>
      </c>
      <c r="H38" s="14" t="e">
        <f t="shared" si="0"/>
        <v>#DIV/0!</v>
      </c>
      <c r="I38" s="25"/>
      <c r="J38" s="25"/>
      <c r="K38" s="26"/>
    </row>
    <row r="39" spans="1:11" s="27" customFormat="1" ht="18.75" hidden="1">
      <c r="A39" s="213" t="s">
        <v>235</v>
      </c>
      <c r="B39" s="30"/>
      <c r="C39" s="210"/>
      <c r="D39" s="24"/>
      <c r="E39" s="24"/>
      <c r="F39" s="210">
        <v>150550</v>
      </c>
      <c r="G39" s="210">
        <v>150550</v>
      </c>
      <c r="H39" s="14" t="e">
        <f t="shared" si="0"/>
        <v>#DIV/0!</v>
      </c>
      <c r="I39" s="25"/>
      <c r="J39" s="25"/>
      <c r="K39" s="26"/>
    </row>
    <row r="40" spans="1:11" s="27" customFormat="1" ht="18.75" hidden="1">
      <c r="A40" s="213" t="s">
        <v>236</v>
      </c>
      <c r="B40" s="30"/>
      <c r="C40" s="210"/>
      <c r="D40" s="24"/>
      <c r="E40" s="24"/>
      <c r="F40" s="210">
        <v>1661628.4379198402</v>
      </c>
      <c r="G40" s="210">
        <v>1661628.4379198402</v>
      </c>
      <c r="H40" s="14" t="e">
        <f t="shared" si="0"/>
        <v>#DIV/0!</v>
      </c>
      <c r="I40" s="25"/>
      <c r="J40" s="25"/>
      <c r="K40" s="26"/>
    </row>
    <row r="41" spans="1:11" ht="18.75" hidden="1">
      <c r="A41" s="213" t="s">
        <v>237</v>
      </c>
      <c r="B41" s="29"/>
      <c r="C41" s="211"/>
      <c r="D41" s="11"/>
      <c r="E41" s="11"/>
      <c r="F41" s="211">
        <v>52760</v>
      </c>
      <c r="G41" s="211">
        <v>52760</v>
      </c>
      <c r="H41" s="14" t="e">
        <f t="shared" si="0"/>
        <v>#DIV/0!</v>
      </c>
      <c r="I41" s="10"/>
      <c r="J41" s="10"/>
      <c r="K41" s="13"/>
    </row>
    <row r="42" spans="1:11" s="215" customFormat="1" ht="18.75">
      <c r="A42" s="47" t="s">
        <v>238</v>
      </c>
      <c r="B42" s="214"/>
      <c r="C42" s="210"/>
      <c r="D42" s="12"/>
      <c r="E42" s="12"/>
      <c r="F42" s="210"/>
      <c r="G42" s="210">
        <v>6530</v>
      </c>
      <c r="H42" s="14"/>
      <c r="I42" s="14"/>
      <c r="J42" s="14"/>
      <c r="K42" s="15"/>
    </row>
    <row r="43" spans="1:11" s="23" customFormat="1" ht="18.75">
      <c r="A43" s="47" t="s">
        <v>239</v>
      </c>
      <c r="B43" s="206">
        <v>275770</v>
      </c>
      <c r="C43" s="209">
        <v>275770</v>
      </c>
      <c r="D43" s="18"/>
      <c r="E43" s="18"/>
      <c r="F43" s="209">
        <v>234277.3407947598</v>
      </c>
      <c r="G43" s="209">
        <v>429000</v>
      </c>
      <c r="H43" s="21"/>
      <c r="I43" s="21"/>
      <c r="J43" s="21"/>
      <c r="K43" s="22"/>
    </row>
    <row r="44" spans="1:11" s="23" customFormat="1" ht="18.75">
      <c r="A44" s="47" t="s">
        <v>240</v>
      </c>
      <c r="B44" s="206">
        <v>1450</v>
      </c>
      <c r="C44" s="209">
        <v>1450</v>
      </c>
      <c r="D44" s="18">
        <v>1450</v>
      </c>
      <c r="E44" s="18"/>
      <c r="F44" s="209">
        <v>1450</v>
      </c>
      <c r="G44" s="209">
        <v>1450</v>
      </c>
      <c r="H44" s="21"/>
      <c r="I44" s="21"/>
      <c r="J44" s="21"/>
      <c r="K44" s="22"/>
    </row>
    <row r="45" spans="1:11" s="23" customFormat="1" ht="18.75">
      <c r="A45" s="47" t="s">
        <v>214</v>
      </c>
      <c r="B45" s="206"/>
      <c r="C45" s="209"/>
      <c r="D45" s="18"/>
      <c r="E45" s="18"/>
      <c r="F45" s="209"/>
      <c r="G45" s="209"/>
      <c r="H45" s="21"/>
      <c r="I45" s="21"/>
      <c r="J45" s="21"/>
      <c r="K45" s="22"/>
    </row>
    <row r="46" spans="1:11" s="23" customFormat="1" ht="18.75">
      <c r="A46" s="307" t="s">
        <v>347</v>
      </c>
      <c r="B46" s="308"/>
      <c r="C46" s="309"/>
      <c r="D46" s="310"/>
      <c r="E46" s="310"/>
      <c r="F46" s="309"/>
      <c r="G46" s="309"/>
      <c r="H46" s="311"/>
      <c r="I46" s="311"/>
      <c r="J46" s="311"/>
      <c r="K46" s="312"/>
    </row>
    <row r="47" spans="1:11" ht="12" customHeight="1" thickBot="1">
      <c r="A47" s="48"/>
      <c r="B47" s="31"/>
      <c r="C47" s="3"/>
      <c r="D47" s="3"/>
      <c r="E47" s="3"/>
      <c r="F47" s="3"/>
      <c r="G47" s="3"/>
      <c r="H47" s="4"/>
      <c r="I47" s="5"/>
      <c r="J47" s="5"/>
      <c r="K47" s="6"/>
    </row>
    <row r="48" spans="1:11" ht="17.25">
      <c r="A48" s="49"/>
      <c r="B48" s="7"/>
      <c r="C48" s="7"/>
      <c r="D48" s="7"/>
      <c r="E48" s="7"/>
      <c r="F48" s="305">
        <f>F23+F28+F44</f>
        <v>11479589.698943229</v>
      </c>
      <c r="G48" s="305">
        <f>G23+G28+G44</f>
        <v>15645450</v>
      </c>
      <c r="H48" s="7"/>
      <c r="I48" s="8"/>
      <c r="J48" s="8"/>
      <c r="K48" s="8"/>
    </row>
    <row r="49" spans="1:11" ht="18">
      <c r="A49" s="988"/>
      <c r="B49" s="988"/>
      <c r="C49" s="989"/>
      <c r="D49" s="989"/>
      <c r="E49" s="989"/>
      <c r="F49" s="989"/>
      <c r="G49" s="989"/>
      <c r="H49" s="989"/>
      <c r="I49" s="989"/>
      <c r="J49" s="989"/>
      <c r="K49" s="989"/>
    </row>
    <row r="51" spans="1:11" ht="17.25">
      <c r="A51" s="49"/>
      <c r="B51" s="7"/>
      <c r="C51" s="7"/>
      <c r="D51" s="7"/>
      <c r="E51" s="7"/>
      <c r="F51" s="7"/>
      <c r="G51" s="7"/>
      <c r="H51" s="7"/>
      <c r="I51" s="8"/>
      <c r="J51" s="8"/>
      <c r="K51" s="8"/>
    </row>
    <row r="52" spans="1:11" ht="17.25">
      <c r="A52" s="49"/>
      <c r="B52" s="7"/>
      <c r="C52" s="7"/>
      <c r="D52" s="7"/>
      <c r="E52" s="7"/>
      <c r="F52" s="7"/>
      <c r="G52" s="7"/>
      <c r="H52" s="7"/>
      <c r="I52" s="8"/>
      <c r="J52" s="8"/>
      <c r="K52" s="8"/>
    </row>
    <row r="53" spans="1:11" ht="17.25">
      <c r="A53" s="49"/>
      <c r="B53" s="7"/>
      <c r="C53" s="7"/>
      <c r="D53" s="7"/>
      <c r="E53" s="7"/>
      <c r="F53" s="7"/>
      <c r="G53" s="7"/>
      <c r="H53" s="7"/>
      <c r="I53" s="8"/>
      <c r="J53" s="8"/>
      <c r="K53" s="8"/>
    </row>
    <row r="54" spans="1:11" ht="17.25">
      <c r="A54" s="49"/>
      <c r="B54" s="7"/>
      <c r="C54" s="7"/>
      <c r="D54" s="7"/>
      <c r="E54" s="7"/>
      <c r="F54" s="7"/>
      <c r="G54" s="7"/>
      <c r="H54" s="7"/>
      <c r="I54" s="8"/>
      <c r="J54" s="8"/>
      <c r="K54" s="8"/>
    </row>
    <row r="55" spans="1:11" ht="17.25">
      <c r="A55" s="49"/>
      <c r="B55" s="7"/>
      <c r="C55" s="7"/>
      <c r="D55" s="7"/>
      <c r="E55" s="7"/>
      <c r="F55" s="7"/>
      <c r="G55" s="7"/>
      <c r="H55" s="7"/>
      <c r="I55" s="8"/>
      <c r="J55" s="8"/>
      <c r="K55" s="8"/>
    </row>
    <row r="56" spans="1:11" ht="17.25">
      <c r="A56" s="49"/>
      <c r="B56" s="7"/>
      <c r="C56" s="7"/>
      <c r="D56" s="7"/>
      <c r="E56" s="7"/>
      <c r="F56" s="7"/>
      <c r="G56" s="7"/>
      <c r="H56" s="7"/>
      <c r="I56" s="8"/>
      <c r="J56" s="8"/>
      <c r="K56" s="8"/>
    </row>
    <row r="57" spans="1:11" ht="17.25">
      <c r="A57" s="49"/>
      <c r="B57" s="7"/>
      <c r="C57" s="7"/>
      <c r="D57" s="7"/>
      <c r="E57" s="7"/>
      <c r="F57" s="7"/>
      <c r="G57" s="7"/>
      <c r="H57" s="7"/>
      <c r="I57" s="8"/>
      <c r="J57" s="8"/>
      <c r="K57" s="8"/>
    </row>
    <row r="58" spans="1:11" ht="17.25">
      <c r="A58" s="49"/>
      <c r="B58" s="7"/>
      <c r="C58" s="7"/>
      <c r="D58" s="7"/>
      <c r="E58" s="7"/>
      <c r="F58" s="7"/>
      <c r="G58" s="7"/>
      <c r="H58" s="7"/>
      <c r="I58" s="8"/>
      <c r="J58" s="8"/>
      <c r="K58" s="8"/>
    </row>
    <row r="59" spans="1:11" ht="17.25">
      <c r="A59" s="49"/>
      <c r="B59" s="7"/>
      <c r="C59" s="7"/>
      <c r="D59" s="7"/>
      <c r="E59" s="7"/>
      <c r="F59" s="7"/>
      <c r="G59" s="7"/>
      <c r="H59" s="7"/>
      <c r="I59" s="8"/>
      <c r="J59" s="8"/>
      <c r="K59" s="8"/>
    </row>
    <row r="60" spans="1:11" ht="17.25">
      <c r="A60" s="49"/>
      <c r="B60" s="7"/>
      <c r="C60" s="7"/>
      <c r="D60" s="7"/>
      <c r="E60" s="7"/>
      <c r="F60" s="7"/>
      <c r="G60" s="7"/>
      <c r="H60" s="7"/>
      <c r="I60" s="8"/>
      <c r="J60" s="8"/>
      <c r="K60" s="8"/>
    </row>
    <row r="61" spans="1:11" ht="17.25">
      <c r="A61" s="49"/>
      <c r="B61" s="7"/>
      <c r="C61" s="7"/>
      <c r="D61" s="7"/>
      <c r="E61" s="7"/>
      <c r="F61" s="7"/>
      <c r="G61" s="7"/>
      <c r="H61" s="7"/>
      <c r="I61" s="8"/>
      <c r="J61" s="8"/>
      <c r="K61" s="8"/>
    </row>
    <row r="62" spans="1:11" ht="17.25">
      <c r="A62" s="49"/>
      <c r="B62" s="7"/>
      <c r="C62" s="7"/>
      <c r="D62" s="7"/>
      <c r="E62" s="7"/>
      <c r="F62" s="7"/>
      <c r="G62" s="7"/>
      <c r="H62" s="7"/>
      <c r="I62" s="8"/>
      <c r="J62" s="8"/>
      <c r="K62" s="8"/>
    </row>
    <row r="63" spans="1:11" ht="17.25">
      <c r="A63" s="49"/>
      <c r="B63" s="7"/>
      <c r="C63" s="7"/>
      <c r="D63" s="7"/>
      <c r="E63" s="7"/>
      <c r="F63" s="7"/>
      <c r="G63" s="7"/>
      <c r="H63" s="7"/>
      <c r="I63" s="8"/>
      <c r="J63" s="8"/>
      <c r="K63" s="8"/>
    </row>
    <row r="64" spans="1:11" ht="17.25">
      <c r="A64" s="49"/>
      <c r="B64" s="7"/>
      <c r="C64" s="7"/>
      <c r="D64" s="7"/>
      <c r="E64" s="7"/>
      <c r="F64" s="7"/>
      <c r="G64" s="7"/>
      <c r="H64" s="7"/>
      <c r="I64" s="8"/>
      <c r="J64" s="8"/>
      <c r="K64" s="8"/>
    </row>
    <row r="65" spans="1:11" ht="17.25">
      <c r="A65" s="49"/>
      <c r="B65" s="7"/>
      <c r="C65" s="7"/>
      <c r="D65" s="7"/>
      <c r="E65" s="7"/>
      <c r="F65" s="7"/>
      <c r="G65" s="7"/>
      <c r="H65" s="7"/>
      <c r="I65" s="8"/>
      <c r="J65" s="8"/>
      <c r="K65" s="8"/>
    </row>
    <row r="66" spans="1:11" ht="17.25">
      <c r="A66" s="49"/>
      <c r="B66" s="7"/>
      <c r="C66" s="7"/>
      <c r="D66" s="7"/>
      <c r="E66" s="7"/>
      <c r="F66" s="7"/>
      <c r="G66" s="7"/>
      <c r="H66" s="7"/>
      <c r="I66" s="8"/>
      <c r="J66" s="8"/>
      <c r="K66" s="8"/>
    </row>
    <row r="67" spans="1:11" ht="17.25">
      <c r="A67" s="49"/>
      <c r="B67" s="7"/>
      <c r="C67" s="7"/>
      <c r="D67" s="7"/>
      <c r="E67" s="7"/>
      <c r="F67" s="7"/>
      <c r="G67" s="7"/>
      <c r="H67" s="7"/>
      <c r="I67" s="8"/>
      <c r="J67" s="8"/>
      <c r="K67" s="8"/>
    </row>
    <row r="68" spans="1:11" ht="17.25">
      <c r="A68" s="49"/>
      <c r="B68" s="7"/>
      <c r="C68" s="7"/>
      <c r="D68" s="7"/>
      <c r="E68" s="7"/>
      <c r="F68" s="7"/>
      <c r="G68" s="7"/>
      <c r="H68" s="7"/>
      <c r="I68" s="8"/>
      <c r="J68" s="8"/>
      <c r="K68" s="8"/>
    </row>
    <row r="69" spans="1:11" ht="17.25">
      <c r="A69" s="49"/>
      <c r="B69" s="7"/>
      <c r="C69" s="7"/>
      <c r="D69" s="7"/>
      <c r="E69" s="7"/>
      <c r="F69" s="7"/>
      <c r="G69" s="7"/>
      <c r="H69" s="7"/>
      <c r="I69" s="8"/>
      <c r="J69" s="8"/>
      <c r="K69" s="8"/>
    </row>
    <row r="70" spans="1:11" ht="17.25">
      <c r="A70" s="49"/>
      <c r="B70" s="7"/>
      <c r="C70" s="7"/>
      <c r="D70" s="7"/>
      <c r="E70" s="7"/>
      <c r="F70" s="7"/>
      <c r="G70" s="7"/>
      <c r="H70" s="7"/>
      <c r="I70" s="8"/>
      <c r="J70" s="8"/>
      <c r="K70" s="8"/>
    </row>
    <row r="71" spans="1:11" ht="17.25">
      <c r="A71" s="49"/>
      <c r="B71" s="7"/>
      <c r="C71" s="7"/>
      <c r="D71" s="7"/>
      <c r="E71" s="7"/>
      <c r="F71" s="7"/>
      <c r="G71" s="7"/>
      <c r="H71" s="7"/>
      <c r="I71" s="8"/>
      <c r="J71" s="8"/>
      <c r="K71" s="8"/>
    </row>
    <row r="72" spans="1:11" ht="17.25">
      <c r="A72" s="49"/>
      <c r="B72" s="7"/>
      <c r="C72" s="7"/>
      <c r="D72" s="7"/>
      <c r="E72" s="7"/>
      <c r="F72" s="7"/>
      <c r="G72" s="7"/>
      <c r="H72" s="7"/>
      <c r="I72" s="8"/>
      <c r="J72" s="8"/>
      <c r="K72" s="8"/>
    </row>
    <row r="73" spans="1:11" ht="17.25">
      <c r="A73" s="49"/>
      <c r="B73" s="7"/>
      <c r="C73" s="7"/>
      <c r="D73" s="7"/>
      <c r="E73" s="7"/>
      <c r="F73" s="7"/>
      <c r="G73" s="7"/>
      <c r="H73" s="7"/>
      <c r="I73" s="8"/>
      <c r="J73" s="8"/>
      <c r="K73" s="8"/>
    </row>
    <row r="74" spans="1:11" ht="17.25">
      <c r="A74" s="49"/>
      <c r="B74" s="7"/>
      <c r="C74" s="7"/>
      <c r="D74" s="7"/>
      <c r="E74" s="7"/>
      <c r="F74" s="7"/>
      <c r="G74" s="7"/>
      <c r="H74" s="7"/>
      <c r="I74" s="8"/>
      <c r="J74" s="8"/>
      <c r="K74" s="8"/>
    </row>
    <row r="75" spans="1:11" ht="17.25">
      <c r="A75" s="49"/>
      <c r="B75" s="7"/>
      <c r="C75" s="7"/>
      <c r="D75" s="7"/>
      <c r="E75" s="7"/>
      <c r="F75" s="7"/>
      <c r="G75" s="7"/>
      <c r="H75" s="7"/>
      <c r="I75" s="8"/>
      <c r="J75" s="8"/>
      <c r="K75" s="8"/>
    </row>
    <row r="76" spans="1:11" ht="17.25">
      <c r="A76" s="49"/>
      <c r="B76" s="7"/>
      <c r="C76" s="7"/>
      <c r="D76" s="7"/>
      <c r="E76" s="7"/>
      <c r="F76" s="7"/>
      <c r="G76" s="7"/>
      <c r="H76" s="7"/>
      <c r="I76" s="8"/>
      <c r="J76" s="8"/>
      <c r="K76" s="8"/>
    </row>
    <row r="77" spans="1:11" ht="17.25">
      <c r="A77" s="49"/>
      <c r="B77" s="7"/>
      <c r="C77" s="7"/>
      <c r="D77" s="7"/>
      <c r="E77" s="7"/>
      <c r="F77" s="7"/>
      <c r="G77" s="7"/>
      <c r="H77" s="7"/>
      <c r="I77" s="8"/>
      <c r="J77" s="8"/>
      <c r="K77" s="8"/>
    </row>
    <row r="78" spans="1:11" ht="17.25">
      <c r="A78" s="49"/>
      <c r="B78" s="7"/>
      <c r="C78" s="7"/>
      <c r="D78" s="7"/>
      <c r="E78" s="7"/>
      <c r="F78" s="7"/>
      <c r="G78" s="7"/>
      <c r="H78" s="7"/>
      <c r="I78" s="8"/>
      <c r="J78" s="8"/>
      <c r="K78" s="8"/>
    </row>
    <row r="79" spans="1:11" ht="17.25">
      <c r="A79" s="49"/>
      <c r="B79" s="7"/>
      <c r="C79" s="7"/>
      <c r="D79" s="7"/>
      <c r="E79" s="7"/>
      <c r="F79" s="7"/>
      <c r="G79" s="7"/>
      <c r="H79" s="7"/>
      <c r="I79" s="8"/>
      <c r="J79" s="8"/>
      <c r="K79" s="8"/>
    </row>
    <row r="80" spans="1:11" ht="17.25">
      <c r="A80" s="49"/>
      <c r="B80" s="7"/>
      <c r="C80" s="7"/>
      <c r="D80" s="7"/>
      <c r="E80" s="7"/>
      <c r="F80" s="7"/>
      <c r="G80" s="7"/>
      <c r="H80" s="7"/>
      <c r="I80" s="8"/>
      <c r="J80" s="8"/>
      <c r="K80" s="8"/>
    </row>
    <row r="81" spans="1:11" ht="17.25">
      <c r="A81" s="49"/>
      <c r="B81" s="7"/>
      <c r="C81" s="7"/>
      <c r="D81" s="7"/>
      <c r="E81" s="7"/>
      <c r="F81" s="7"/>
      <c r="G81" s="7"/>
      <c r="H81" s="7"/>
      <c r="I81" s="8"/>
      <c r="J81" s="8"/>
      <c r="K81" s="8"/>
    </row>
    <row r="82" spans="1:11" ht="17.25">
      <c r="A82" s="49"/>
      <c r="B82" s="7"/>
      <c r="C82" s="7"/>
      <c r="D82" s="7"/>
      <c r="E82" s="7"/>
      <c r="F82" s="7"/>
      <c r="G82" s="7"/>
      <c r="H82" s="7"/>
      <c r="I82" s="8"/>
      <c r="J82" s="8"/>
      <c r="K82" s="8"/>
    </row>
    <row r="83" spans="1:11" ht="17.25">
      <c r="A83" s="49"/>
      <c r="B83" s="7"/>
      <c r="C83" s="7"/>
      <c r="D83" s="7"/>
      <c r="E83" s="7"/>
      <c r="F83" s="7"/>
      <c r="G83" s="7"/>
      <c r="H83" s="7"/>
      <c r="I83" s="8"/>
      <c r="J83" s="8"/>
      <c r="K83" s="8"/>
    </row>
    <row r="84" spans="1:11" ht="17.25">
      <c r="A84" s="49"/>
      <c r="B84" s="7"/>
      <c r="C84" s="7"/>
      <c r="D84" s="7"/>
      <c r="E84" s="7"/>
      <c r="F84" s="7"/>
      <c r="G84" s="7"/>
      <c r="H84" s="7"/>
      <c r="I84" s="8"/>
      <c r="J84" s="8"/>
      <c r="K84" s="8"/>
    </row>
    <row r="85" spans="1:11" ht="17.25">
      <c r="A85" s="49"/>
      <c r="B85" s="7"/>
      <c r="C85" s="7"/>
      <c r="D85" s="7"/>
      <c r="E85" s="7"/>
      <c r="F85" s="7"/>
      <c r="G85" s="7"/>
      <c r="H85" s="7"/>
      <c r="I85" s="8"/>
      <c r="J85" s="8"/>
      <c r="K85" s="8"/>
    </row>
    <row r="86" spans="1:11" ht="17.25">
      <c r="A86" s="49"/>
      <c r="B86" s="7"/>
      <c r="C86" s="7"/>
      <c r="D86" s="7"/>
      <c r="E86" s="7"/>
      <c r="F86" s="7"/>
      <c r="G86" s="7"/>
      <c r="H86" s="7"/>
      <c r="I86" s="8"/>
      <c r="J86" s="8"/>
      <c r="K86" s="8"/>
    </row>
    <row r="87" spans="1:11" ht="17.25">
      <c r="A87" s="49"/>
      <c r="B87" s="7"/>
      <c r="C87" s="7"/>
      <c r="D87" s="7"/>
      <c r="E87" s="7"/>
      <c r="F87" s="7"/>
      <c r="G87" s="7"/>
      <c r="H87" s="7"/>
      <c r="I87" s="8"/>
      <c r="J87" s="8"/>
      <c r="K87" s="8"/>
    </row>
    <row r="88" spans="1:11" ht="17.25">
      <c r="A88" s="49"/>
      <c r="B88" s="7"/>
      <c r="C88" s="7"/>
      <c r="D88" s="7"/>
      <c r="E88" s="7"/>
      <c r="F88" s="7"/>
      <c r="G88" s="7"/>
      <c r="H88" s="7"/>
      <c r="I88" s="8"/>
      <c r="J88" s="8"/>
      <c r="K88" s="8"/>
    </row>
    <row r="89" spans="1:11" ht="17.25">
      <c r="A89" s="49"/>
      <c r="B89" s="7"/>
      <c r="C89" s="7"/>
      <c r="D89" s="7"/>
      <c r="E89" s="7"/>
      <c r="F89" s="7"/>
      <c r="G89" s="7"/>
      <c r="H89" s="7"/>
      <c r="I89" s="8"/>
      <c r="J89" s="8"/>
      <c r="K89" s="8"/>
    </row>
    <row r="90" spans="1:11" ht="17.25">
      <c r="A90" s="49"/>
      <c r="B90" s="7"/>
      <c r="C90" s="7"/>
      <c r="D90" s="7"/>
      <c r="E90" s="7"/>
      <c r="F90" s="7"/>
      <c r="G90" s="7"/>
      <c r="H90" s="7"/>
      <c r="I90" s="8"/>
      <c r="J90" s="8"/>
      <c r="K90" s="8"/>
    </row>
    <row r="91" spans="1:11" ht="17.25">
      <c r="A91" s="49"/>
      <c r="B91" s="7"/>
      <c r="C91" s="7"/>
      <c r="D91" s="7"/>
      <c r="E91" s="7"/>
      <c r="F91" s="7"/>
      <c r="G91" s="7"/>
      <c r="H91" s="7"/>
      <c r="I91" s="8"/>
      <c r="J91" s="8"/>
      <c r="K91" s="8"/>
    </row>
    <row r="92" spans="1:11" ht="17.25">
      <c r="A92" s="49"/>
      <c r="B92" s="7"/>
      <c r="C92" s="7"/>
      <c r="D92" s="7"/>
      <c r="E92" s="7"/>
      <c r="F92" s="7"/>
      <c r="G92" s="7"/>
      <c r="H92" s="7"/>
      <c r="I92" s="8"/>
      <c r="J92" s="8"/>
      <c r="K92" s="8"/>
    </row>
    <row r="93" spans="1:11" ht="17.25">
      <c r="A93" s="49"/>
      <c r="B93" s="7"/>
      <c r="C93" s="7"/>
      <c r="D93" s="7"/>
      <c r="E93" s="7"/>
      <c r="F93" s="7"/>
      <c r="G93" s="7"/>
      <c r="H93" s="7"/>
      <c r="I93" s="8"/>
      <c r="J93" s="8"/>
      <c r="K93" s="8"/>
    </row>
    <row r="94" spans="1:11" ht="17.25">
      <c r="A94" s="49"/>
      <c r="B94" s="7"/>
      <c r="C94" s="7"/>
      <c r="D94" s="7"/>
      <c r="E94" s="7"/>
      <c r="F94" s="7"/>
      <c r="G94" s="7"/>
      <c r="H94" s="7"/>
      <c r="I94" s="8"/>
      <c r="J94" s="8"/>
      <c r="K94" s="8"/>
    </row>
    <row r="95" spans="1:11" ht="17.25">
      <c r="A95" s="49"/>
      <c r="B95" s="7"/>
      <c r="C95" s="7"/>
      <c r="D95" s="7"/>
      <c r="E95" s="7"/>
      <c r="F95" s="7"/>
      <c r="G95" s="7"/>
      <c r="H95" s="7"/>
      <c r="I95" s="8"/>
      <c r="J95" s="8"/>
      <c r="K95" s="8"/>
    </row>
    <row r="96" spans="1:11" ht="17.25">
      <c r="A96" s="49"/>
      <c r="B96" s="7"/>
      <c r="C96" s="7"/>
      <c r="D96" s="7"/>
      <c r="E96" s="7"/>
      <c r="F96" s="7"/>
      <c r="G96" s="7"/>
      <c r="H96" s="7"/>
      <c r="I96" s="8"/>
      <c r="J96" s="8"/>
      <c r="K96" s="8"/>
    </row>
    <row r="97" spans="1:11" ht="17.25">
      <c r="A97" s="49"/>
      <c r="B97" s="7"/>
      <c r="C97" s="7"/>
      <c r="D97" s="7"/>
      <c r="E97" s="7"/>
      <c r="F97" s="7"/>
      <c r="G97" s="7"/>
      <c r="H97" s="7"/>
      <c r="I97" s="8"/>
      <c r="J97" s="8"/>
      <c r="K97" s="8"/>
    </row>
    <row r="98" spans="1:11" ht="17.25">
      <c r="A98" s="49"/>
      <c r="B98" s="7"/>
      <c r="C98" s="7"/>
      <c r="D98" s="7"/>
      <c r="E98" s="7"/>
      <c r="F98" s="7"/>
      <c r="G98" s="7"/>
      <c r="H98" s="7"/>
      <c r="I98" s="8"/>
      <c r="J98" s="8"/>
      <c r="K98" s="8"/>
    </row>
    <row r="99" spans="1:11" ht="17.25">
      <c r="A99" s="49"/>
      <c r="B99" s="7"/>
      <c r="C99" s="7"/>
      <c r="D99" s="7"/>
      <c r="E99" s="7"/>
      <c r="F99" s="7"/>
      <c r="G99" s="7"/>
      <c r="H99" s="7"/>
      <c r="I99" s="8"/>
      <c r="J99" s="8"/>
      <c r="K99" s="8"/>
    </row>
    <row r="100" spans="1:11" ht="17.25">
      <c r="A100" s="49"/>
      <c r="B100" s="7"/>
      <c r="C100" s="7"/>
      <c r="D100" s="7"/>
      <c r="E100" s="7"/>
      <c r="F100" s="7"/>
      <c r="G100" s="7"/>
      <c r="H100" s="7"/>
      <c r="I100" s="8"/>
      <c r="J100" s="8"/>
      <c r="K100" s="8"/>
    </row>
    <row r="101" spans="1:11" ht="17.25">
      <c r="A101" s="49"/>
      <c r="B101" s="7"/>
      <c r="C101" s="7"/>
      <c r="D101" s="7"/>
      <c r="E101" s="7"/>
      <c r="F101" s="7"/>
      <c r="G101" s="7"/>
      <c r="H101" s="7"/>
      <c r="I101" s="8"/>
      <c r="J101" s="8"/>
      <c r="K101" s="8"/>
    </row>
    <row r="102" spans="1:11" ht="17.25">
      <c r="A102" s="49"/>
      <c r="B102" s="7"/>
      <c r="C102" s="7"/>
      <c r="D102" s="7"/>
      <c r="E102" s="7"/>
      <c r="F102" s="7"/>
      <c r="G102" s="7"/>
      <c r="H102" s="7"/>
      <c r="I102" s="8"/>
      <c r="J102" s="8"/>
      <c r="K102" s="8"/>
    </row>
    <row r="103" spans="1:11" ht="17.25">
      <c r="A103" s="49"/>
      <c r="B103" s="7"/>
      <c r="C103" s="7"/>
      <c r="D103" s="7"/>
      <c r="E103" s="7"/>
      <c r="F103" s="7"/>
      <c r="G103" s="7"/>
      <c r="H103" s="7"/>
      <c r="I103" s="8"/>
      <c r="J103" s="8"/>
      <c r="K103" s="8"/>
    </row>
    <row r="104" spans="1:11" ht="17.25">
      <c r="A104" s="49"/>
      <c r="B104" s="7"/>
      <c r="C104" s="7"/>
      <c r="D104" s="7"/>
      <c r="E104" s="7"/>
      <c r="F104" s="7"/>
      <c r="G104" s="7"/>
      <c r="H104" s="7"/>
      <c r="I104" s="8"/>
      <c r="J104" s="8"/>
      <c r="K104" s="8"/>
    </row>
    <row r="105" spans="1:11" ht="17.25">
      <c r="A105" s="49"/>
      <c r="B105" s="7"/>
      <c r="C105" s="7"/>
      <c r="D105" s="7"/>
      <c r="E105" s="7"/>
      <c r="F105" s="7"/>
      <c r="G105" s="7"/>
      <c r="H105" s="7"/>
      <c r="I105" s="8"/>
      <c r="J105" s="8"/>
      <c r="K105" s="8"/>
    </row>
    <row r="106" spans="1:11" ht="17.25">
      <c r="A106" s="49"/>
      <c r="B106" s="7"/>
      <c r="C106" s="7"/>
      <c r="D106" s="7"/>
      <c r="E106" s="7"/>
      <c r="F106" s="7"/>
      <c r="G106" s="7"/>
      <c r="H106" s="7"/>
      <c r="I106" s="8"/>
      <c r="J106" s="8"/>
      <c r="K106" s="8"/>
    </row>
    <row r="107" spans="1:11" ht="17.25">
      <c r="A107" s="49"/>
      <c r="B107" s="7"/>
      <c r="C107" s="7"/>
      <c r="D107" s="7"/>
      <c r="E107" s="7"/>
      <c r="F107" s="7"/>
      <c r="G107" s="7"/>
      <c r="H107" s="7"/>
      <c r="I107" s="8"/>
      <c r="J107" s="8"/>
      <c r="K107" s="8"/>
    </row>
    <row r="108" spans="1:11">
      <c r="A108" s="49"/>
      <c r="B108" s="9"/>
      <c r="C108" s="9"/>
      <c r="D108" s="9"/>
      <c r="E108" s="9"/>
      <c r="F108" s="9"/>
      <c r="G108" s="9"/>
      <c r="H108" s="9"/>
    </row>
    <row r="109" spans="1:11">
      <c r="A109" s="49"/>
      <c r="B109" s="9"/>
      <c r="C109" s="9"/>
      <c r="D109" s="9"/>
      <c r="E109" s="9"/>
      <c r="F109" s="9"/>
      <c r="G109" s="9"/>
      <c r="H109" s="9"/>
    </row>
    <row r="110" spans="1:11">
      <c r="A110" s="49"/>
      <c r="B110" s="9"/>
      <c r="C110" s="9"/>
      <c r="D110" s="9"/>
      <c r="E110" s="9"/>
      <c r="F110" s="9"/>
      <c r="G110" s="9"/>
      <c r="H110" s="9"/>
    </row>
    <row r="111" spans="1:11">
      <c r="A111" s="49"/>
      <c r="B111" s="9"/>
      <c r="C111" s="9"/>
      <c r="D111" s="9"/>
      <c r="E111" s="9"/>
      <c r="F111" s="9"/>
      <c r="G111" s="9"/>
      <c r="H111" s="9"/>
    </row>
    <row r="112" spans="1:11">
      <c r="A112" s="49"/>
      <c r="B112" s="9"/>
      <c r="C112" s="9"/>
      <c r="D112" s="9"/>
      <c r="E112" s="9"/>
      <c r="F112" s="9"/>
      <c r="G112" s="9"/>
      <c r="H112" s="9"/>
    </row>
    <row r="113" spans="1:8">
      <c r="A113" s="49"/>
      <c r="B113" s="9"/>
      <c r="C113" s="9"/>
      <c r="D113" s="9"/>
      <c r="E113" s="9"/>
      <c r="F113" s="9"/>
      <c r="G113" s="9"/>
      <c r="H113" s="9"/>
    </row>
    <row r="114" spans="1:8">
      <c r="A114" s="49"/>
      <c r="B114" s="9"/>
      <c r="C114" s="9"/>
      <c r="D114" s="9"/>
      <c r="E114" s="9"/>
      <c r="F114" s="9"/>
      <c r="G114" s="9"/>
      <c r="H114" s="9"/>
    </row>
    <row r="115" spans="1:8">
      <c r="A115" s="49"/>
      <c r="B115" s="9"/>
      <c r="C115" s="9"/>
      <c r="D115" s="9"/>
      <c r="E115" s="9"/>
      <c r="F115" s="9"/>
      <c r="G115" s="9"/>
      <c r="H115" s="9"/>
    </row>
  </sheetData>
  <mergeCells count="11">
    <mergeCell ref="C6:C7"/>
    <mergeCell ref="H6:K6"/>
    <mergeCell ref="E1:F1"/>
    <mergeCell ref="B6:B7"/>
    <mergeCell ref="A49:K49"/>
    <mergeCell ref="A2:K2"/>
    <mergeCell ref="A3:K3"/>
    <mergeCell ref="J5:K5"/>
    <mergeCell ref="A6:A7"/>
    <mergeCell ref="F6:G6"/>
    <mergeCell ref="D6:E6"/>
  </mergeCells>
  <phoneticPr fontId="3" type="noConversion"/>
  <printOptions horizontalCentered="1"/>
  <pageMargins left="0.18" right="0.2" top="0.55000000000000004" bottom="0.22" header="0.17" footer="0.16"/>
  <pageSetup paperSize="9" scale="7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80" zoomScaleNormal="80" workbookViewId="0">
      <pane xSplit="2" ySplit="16" topLeftCell="C35" activePane="bottomRight" state="frozen"/>
      <selection activeCell="D49" sqref="D49"/>
      <selection pane="topRight" activeCell="D49" sqref="D49"/>
      <selection pane="bottomLeft" activeCell="D49" sqref="D49"/>
      <selection pane="bottomRight" activeCell="D49" sqref="D49"/>
    </sheetView>
  </sheetViews>
  <sheetFormatPr defaultColWidth="10" defaultRowHeight="15.75"/>
  <cols>
    <col min="1" max="1" width="5.7109375" style="216" customWidth="1"/>
    <col min="2" max="2" width="65.5703125" style="216" customWidth="1"/>
    <col min="3" max="3" width="24" style="216" customWidth="1"/>
    <col min="4" max="6" width="18.42578125" style="216" customWidth="1"/>
    <col min="7" max="7" width="10" style="216"/>
    <col min="8" max="11" width="18.42578125" style="216" customWidth="1"/>
    <col min="12" max="16384" width="10" style="216"/>
  </cols>
  <sheetData>
    <row r="1" spans="1:12" ht="12.75" hidden="1" customHeight="1">
      <c r="A1" s="267"/>
      <c r="B1" s="267"/>
      <c r="C1" s="267"/>
      <c r="D1" s="263"/>
      <c r="E1" s="263"/>
      <c r="F1" s="263"/>
      <c r="H1" s="263"/>
      <c r="I1" s="263"/>
      <c r="J1" s="263"/>
      <c r="K1" s="263"/>
    </row>
    <row r="2" spans="1:12" ht="39" customHeight="1">
      <c r="A2" s="266" t="s">
        <v>293</v>
      </c>
      <c r="B2" s="266"/>
      <c r="C2" s="266"/>
      <c r="D2" s="265"/>
      <c r="E2" s="265"/>
      <c r="F2" s="265"/>
      <c r="H2" s="265"/>
      <c r="I2" s="265"/>
      <c r="J2" s="265"/>
      <c r="K2" s="265"/>
    </row>
    <row r="3" spans="1:12" ht="21" customHeight="1">
      <c r="A3" s="997" t="s">
        <v>323</v>
      </c>
      <c r="B3" s="997"/>
      <c r="C3" s="997"/>
      <c r="D3" s="997"/>
      <c r="E3" s="997"/>
      <c r="F3" s="997"/>
      <c r="H3" s="263"/>
      <c r="I3" s="263"/>
      <c r="J3" s="263"/>
      <c r="K3" s="263"/>
    </row>
    <row r="4" spans="1:12" ht="9.75" hidden="1" customHeight="1">
      <c r="A4" s="264"/>
      <c r="B4" s="264"/>
      <c r="C4" s="264"/>
      <c r="D4" s="263"/>
      <c r="E4" s="263"/>
      <c r="F4" s="263"/>
      <c r="H4" s="263"/>
      <c r="I4" s="263"/>
      <c r="J4" s="263"/>
      <c r="K4" s="263"/>
    </row>
    <row r="5" spans="1:12" ht="19.5" customHeight="1" thickBot="1">
      <c r="A5" s="262"/>
      <c r="B5" s="262"/>
      <c r="C5" s="262"/>
      <c r="D5" s="217"/>
      <c r="E5" s="998" t="s">
        <v>292</v>
      </c>
      <c r="F5" s="998"/>
      <c r="H5" s="217"/>
      <c r="I5" s="217"/>
      <c r="J5" s="998" t="s">
        <v>292</v>
      </c>
      <c r="K5" s="998"/>
    </row>
    <row r="6" spans="1:12" s="248" customFormat="1" ht="23.25" customHeight="1">
      <c r="A6" s="261" t="s">
        <v>194</v>
      </c>
      <c r="B6" s="260"/>
      <c r="C6" s="999" t="s">
        <v>291</v>
      </c>
      <c r="D6" s="1000"/>
      <c r="E6" s="258" t="s">
        <v>280</v>
      </c>
      <c r="F6" s="259"/>
      <c r="H6" s="258" t="s">
        <v>280</v>
      </c>
      <c r="I6" s="258" t="s">
        <v>290</v>
      </c>
      <c r="J6" s="258" t="s">
        <v>280</v>
      </c>
      <c r="K6" s="257"/>
    </row>
    <row r="7" spans="1:12" s="248" customFormat="1" ht="23.25" customHeight="1">
      <c r="A7" s="228" t="s">
        <v>195</v>
      </c>
      <c r="B7" s="256" t="s">
        <v>289</v>
      </c>
      <c r="C7" s="256" t="s">
        <v>288</v>
      </c>
      <c r="D7" s="254" t="s">
        <v>287</v>
      </c>
      <c r="E7" s="254" t="s">
        <v>286</v>
      </c>
      <c r="F7" s="255" t="s">
        <v>285</v>
      </c>
      <c r="H7" s="254" t="s">
        <v>284</v>
      </c>
      <c r="I7" s="254" t="s">
        <v>283</v>
      </c>
      <c r="J7" s="254" t="s">
        <v>282</v>
      </c>
      <c r="K7" s="254" t="s">
        <v>281</v>
      </c>
      <c r="L7" s="254" t="s">
        <v>280</v>
      </c>
    </row>
    <row r="8" spans="1:12" s="248" customFormat="1" ht="23.25" customHeight="1">
      <c r="A8" s="253" t="s">
        <v>195</v>
      </c>
      <c r="B8" s="252"/>
      <c r="C8" s="251">
        <v>42185</v>
      </c>
      <c r="D8" s="249" t="s">
        <v>279</v>
      </c>
      <c r="E8" s="249"/>
      <c r="F8" s="250"/>
      <c r="H8" s="249" t="s">
        <v>278</v>
      </c>
      <c r="I8" s="249" t="s">
        <v>277</v>
      </c>
      <c r="J8" s="249" t="s">
        <v>276</v>
      </c>
      <c r="K8" s="249"/>
    </row>
    <row r="9" spans="1:12" s="242" customFormat="1" ht="17.25" customHeight="1">
      <c r="A9" s="247" t="s">
        <v>12</v>
      </c>
      <c r="B9" s="246" t="s">
        <v>13</v>
      </c>
      <c r="C9" s="246">
        <v>1</v>
      </c>
      <c r="D9" s="244">
        <v>2</v>
      </c>
      <c r="E9" s="244">
        <v>3</v>
      </c>
      <c r="F9" s="245" t="s">
        <v>208</v>
      </c>
      <c r="H9" s="244">
        <v>1</v>
      </c>
      <c r="I9" s="244">
        <v>2</v>
      </c>
      <c r="J9" s="244">
        <v>3</v>
      </c>
      <c r="K9" s="243" t="s">
        <v>208</v>
      </c>
    </row>
    <row r="10" spans="1:12" s="237" customFormat="1" ht="22.15" customHeight="1">
      <c r="A10" s="241" t="s">
        <v>12</v>
      </c>
      <c r="B10" s="240" t="s">
        <v>275</v>
      </c>
      <c r="C10" s="298"/>
      <c r="D10" s="299"/>
      <c r="E10" s="299"/>
      <c r="F10" s="300">
        <f>E10-D10</f>
        <v>0</v>
      </c>
      <c r="H10" s="239"/>
      <c r="I10" s="239"/>
      <c r="J10" s="239"/>
      <c r="K10" s="238"/>
    </row>
    <row r="11" spans="1:12" s="237" customFormat="1" ht="22.15" customHeight="1">
      <c r="A11" s="241" t="s">
        <v>13</v>
      </c>
      <c r="B11" s="240" t="s">
        <v>274</v>
      </c>
      <c r="C11" s="298"/>
      <c r="D11" s="299"/>
      <c r="E11" s="299"/>
      <c r="F11" s="300">
        <f t="shared" ref="F11:F46" si="0">E11-D11</f>
        <v>0</v>
      </c>
      <c r="H11" s="239"/>
      <c r="I11" s="239"/>
      <c r="J11" s="239"/>
      <c r="K11" s="238"/>
    </row>
    <row r="12" spans="1:12" s="237" customFormat="1" ht="22.15" customHeight="1">
      <c r="A12" s="241" t="s">
        <v>273</v>
      </c>
      <c r="B12" s="240" t="s">
        <v>272</v>
      </c>
      <c r="C12" s="298"/>
      <c r="D12" s="299"/>
      <c r="E12" s="299"/>
      <c r="F12" s="300">
        <f t="shared" si="0"/>
        <v>0</v>
      </c>
      <c r="H12" s="239"/>
      <c r="I12" s="239"/>
      <c r="J12" s="239"/>
      <c r="K12" s="238"/>
    </row>
    <row r="13" spans="1:12" ht="21.75" customHeight="1">
      <c r="A13" s="236" t="s">
        <v>271</v>
      </c>
      <c r="B13" s="235" t="s">
        <v>270</v>
      </c>
      <c r="C13" s="301"/>
      <c r="D13" s="234">
        <v>751400</v>
      </c>
      <c r="E13" s="234">
        <v>3500000</v>
      </c>
      <c r="F13" s="300">
        <f t="shared" si="0"/>
        <v>2748600</v>
      </c>
      <c r="H13" s="234"/>
      <c r="I13" s="234"/>
      <c r="J13" s="234"/>
      <c r="K13" s="234"/>
    </row>
    <row r="14" spans="1:12" ht="21.75" customHeight="1">
      <c r="A14" s="236" t="s">
        <v>269</v>
      </c>
      <c r="B14" s="235" t="s">
        <v>268</v>
      </c>
      <c r="C14" s="301"/>
      <c r="D14" s="234"/>
      <c r="E14" s="234"/>
      <c r="F14" s="300">
        <f t="shared" si="0"/>
        <v>0</v>
      </c>
      <c r="H14" s="234"/>
      <c r="I14" s="234"/>
      <c r="J14" s="234"/>
      <c r="K14" s="234"/>
    </row>
    <row r="15" spans="1:12" ht="21.75" customHeight="1">
      <c r="A15" s="236" t="s">
        <v>267</v>
      </c>
      <c r="B15" s="235" t="s">
        <v>266</v>
      </c>
      <c r="C15" s="301"/>
      <c r="D15" s="234"/>
      <c r="E15" s="234"/>
      <c r="F15" s="300">
        <f t="shared" si="0"/>
        <v>0</v>
      </c>
      <c r="H15" s="234"/>
      <c r="I15" s="234"/>
      <c r="J15" s="234"/>
      <c r="K15" s="234"/>
    </row>
    <row r="16" spans="1:12" s="217" customFormat="1" ht="21.75" customHeight="1">
      <c r="A16" s="228" t="s">
        <v>17</v>
      </c>
      <c r="B16" s="227" t="s">
        <v>265</v>
      </c>
      <c r="C16" s="302">
        <v>640981</v>
      </c>
      <c r="D16" s="229">
        <v>640981</v>
      </c>
      <c r="E16" s="229">
        <f>D34</f>
        <v>457538</v>
      </c>
      <c r="F16" s="300">
        <f t="shared" si="0"/>
        <v>-183443</v>
      </c>
      <c r="H16" s="229"/>
      <c r="I16" s="229"/>
      <c r="J16" s="229"/>
      <c r="K16" s="229"/>
    </row>
    <row r="17" spans="1:13" s="217" customFormat="1" ht="35.450000000000003" customHeight="1">
      <c r="A17" s="228"/>
      <c r="B17" s="230" t="s">
        <v>264</v>
      </c>
      <c r="C17" s="303"/>
      <c r="D17" s="229">
        <f>D16/D13*100</f>
        <v>85.304897524620699</v>
      </c>
      <c r="E17" s="229">
        <f>E16/E13*100</f>
        <v>13.072514285714284</v>
      </c>
      <c r="F17" s="300">
        <f t="shared" si="0"/>
        <v>-72.232383238906408</v>
      </c>
      <c r="H17" s="229"/>
      <c r="I17" s="229"/>
      <c r="J17" s="229"/>
      <c r="K17" s="229"/>
    </row>
    <row r="18" spans="1:13" s="217" customFormat="1" ht="21.6" customHeight="1">
      <c r="A18" s="225">
        <v>1</v>
      </c>
      <c r="B18" s="226" t="s">
        <v>253</v>
      </c>
      <c r="C18" s="304">
        <v>466250</v>
      </c>
      <c r="D18" s="233">
        <v>466250</v>
      </c>
      <c r="E18" s="233">
        <v>282500</v>
      </c>
      <c r="F18" s="300">
        <f t="shared" si="0"/>
        <v>-183750</v>
      </c>
      <c r="H18" s="233"/>
      <c r="I18" s="233"/>
      <c r="J18" s="233"/>
      <c r="K18" s="233"/>
    </row>
    <row r="19" spans="1:13" s="217" customFormat="1" ht="21.6" customHeight="1">
      <c r="A19" s="225">
        <v>2</v>
      </c>
      <c r="B19" s="226" t="s">
        <v>249</v>
      </c>
      <c r="C19" s="304"/>
      <c r="D19" s="233"/>
      <c r="E19" s="233"/>
      <c r="F19" s="300">
        <f t="shared" si="0"/>
        <v>0</v>
      </c>
      <c r="H19" s="233"/>
      <c r="I19" s="233"/>
      <c r="J19" s="233"/>
      <c r="K19" s="233"/>
    </row>
    <row r="20" spans="1:13" s="217" customFormat="1" ht="21.75" customHeight="1">
      <c r="A20" s="225">
        <v>3</v>
      </c>
      <c r="B20" s="224" t="s">
        <v>248</v>
      </c>
      <c r="C20" s="304"/>
      <c r="D20" s="223"/>
      <c r="E20" s="223"/>
      <c r="F20" s="300">
        <f t="shared" si="0"/>
        <v>0</v>
      </c>
      <c r="H20" s="223"/>
      <c r="I20" s="223"/>
      <c r="J20" s="223"/>
      <c r="K20" s="223"/>
    </row>
    <row r="21" spans="1:13" s="217" customFormat="1" ht="21.75" customHeight="1">
      <c r="A21" s="225">
        <v>4</v>
      </c>
      <c r="B21" s="224" t="s">
        <v>247</v>
      </c>
      <c r="C21" s="304">
        <v>174731</v>
      </c>
      <c r="D21" s="223">
        <v>174731</v>
      </c>
      <c r="E21" s="223">
        <v>175038</v>
      </c>
      <c r="F21" s="300">
        <f t="shared" si="0"/>
        <v>307</v>
      </c>
      <c r="H21" s="223"/>
      <c r="I21" s="223"/>
      <c r="J21" s="223"/>
      <c r="K21" s="223"/>
    </row>
    <row r="22" spans="1:13" s="217" customFormat="1" ht="21.75" customHeight="1">
      <c r="A22" s="225">
        <f>A21+1</f>
        <v>5</v>
      </c>
      <c r="B22" s="224" t="s">
        <v>246</v>
      </c>
      <c r="C22" s="304"/>
      <c r="D22" s="223"/>
      <c r="E22" s="223"/>
      <c r="F22" s="300">
        <f t="shared" si="0"/>
        <v>0</v>
      </c>
      <c r="H22" s="223"/>
      <c r="I22" s="223"/>
      <c r="J22" s="223"/>
      <c r="K22" s="223"/>
    </row>
    <row r="23" spans="1:13" s="217" customFormat="1" ht="21.75" customHeight="1">
      <c r="A23" s="228" t="s">
        <v>18</v>
      </c>
      <c r="B23" s="227" t="s">
        <v>263</v>
      </c>
      <c r="C23" s="302"/>
      <c r="D23" s="223">
        <f>SUM(D24:D28)</f>
        <v>9765</v>
      </c>
      <c r="E23" s="223">
        <f>SUM(E24:E28)</f>
        <v>622313</v>
      </c>
      <c r="F23" s="300">
        <f t="shared" si="0"/>
        <v>612548</v>
      </c>
      <c r="H23" s="223"/>
      <c r="I23" s="223"/>
      <c r="J23" s="223"/>
      <c r="K23" s="223"/>
    </row>
    <row r="24" spans="1:13" s="217" customFormat="1" ht="21.75" customHeight="1">
      <c r="A24" s="225">
        <v>1</v>
      </c>
      <c r="B24" s="226" t="s">
        <v>253</v>
      </c>
      <c r="C24" s="302"/>
      <c r="D24" s="223"/>
      <c r="E24" s="223">
        <v>200000</v>
      </c>
      <c r="F24" s="300">
        <f t="shared" si="0"/>
        <v>200000</v>
      </c>
      <c r="H24" s="223"/>
      <c r="I24" s="223"/>
      <c r="J24" s="223"/>
      <c r="K24" s="223"/>
    </row>
    <row r="25" spans="1:13" s="217" customFormat="1" ht="21.75" customHeight="1">
      <c r="A25" s="225">
        <v>2</v>
      </c>
      <c r="B25" s="226" t="s">
        <v>249</v>
      </c>
      <c r="C25" s="302"/>
      <c r="D25" s="223"/>
      <c r="E25" s="223">
        <v>100000</v>
      </c>
      <c r="F25" s="300">
        <f t="shared" si="0"/>
        <v>100000</v>
      </c>
      <c r="H25" s="223"/>
      <c r="I25" s="223"/>
      <c r="J25" s="223"/>
      <c r="K25" s="223"/>
    </row>
    <row r="26" spans="1:13" s="217" customFormat="1" ht="21.75" customHeight="1">
      <c r="A26" s="225">
        <v>3</v>
      </c>
      <c r="B26" s="224" t="s">
        <v>248</v>
      </c>
      <c r="C26" s="302"/>
      <c r="D26" s="223"/>
      <c r="E26" s="223"/>
      <c r="F26" s="300">
        <f t="shared" si="0"/>
        <v>0</v>
      </c>
      <c r="H26" s="223"/>
      <c r="I26" s="223"/>
      <c r="J26" s="223"/>
      <c r="K26" s="223"/>
    </row>
    <row r="27" spans="1:13" s="217" customFormat="1" ht="21.75" customHeight="1">
      <c r="A27" s="225">
        <v>4</v>
      </c>
      <c r="B27" s="224" t="s">
        <v>247</v>
      </c>
      <c r="C27" s="302"/>
      <c r="D27" s="223">
        <v>9765</v>
      </c>
      <c r="E27" s="223">
        <v>322313</v>
      </c>
      <c r="F27" s="300">
        <f t="shared" si="0"/>
        <v>312548</v>
      </c>
      <c r="H27" s="223"/>
      <c r="I27" s="223"/>
      <c r="J27" s="223"/>
      <c r="K27" s="223"/>
    </row>
    <row r="28" spans="1:13" s="217" customFormat="1" ht="21.75" customHeight="1">
      <c r="A28" s="225">
        <f>A27+1</f>
        <v>5</v>
      </c>
      <c r="B28" s="224" t="s">
        <v>246</v>
      </c>
      <c r="C28" s="304"/>
      <c r="D28" s="223"/>
      <c r="E28" s="223"/>
      <c r="F28" s="300">
        <f t="shared" si="0"/>
        <v>0</v>
      </c>
      <c r="H28" s="223"/>
      <c r="I28" s="223"/>
      <c r="J28" s="223"/>
      <c r="K28" s="223"/>
    </row>
    <row r="29" spans="1:13" s="217" customFormat="1" ht="21.75" customHeight="1">
      <c r="A29" s="228" t="s">
        <v>196</v>
      </c>
      <c r="B29" s="227" t="s">
        <v>262</v>
      </c>
      <c r="C29" s="302">
        <v>110707</v>
      </c>
      <c r="D29" s="330">
        <v>193208</v>
      </c>
      <c r="E29" s="330">
        <v>198536</v>
      </c>
      <c r="F29" s="300">
        <f t="shared" si="0"/>
        <v>5328</v>
      </c>
      <c r="H29" s="223"/>
      <c r="I29" s="223"/>
      <c r="J29" s="223"/>
      <c r="K29" s="223"/>
      <c r="M29" s="232" t="s">
        <v>261</v>
      </c>
    </row>
    <row r="30" spans="1:13" s="217" customFormat="1" ht="21.75" customHeight="1">
      <c r="A30" s="231" t="s">
        <v>257</v>
      </c>
      <c r="B30" s="224" t="s">
        <v>260</v>
      </c>
      <c r="C30" s="304"/>
      <c r="D30" s="223"/>
      <c r="E30" s="223"/>
      <c r="F30" s="300">
        <f t="shared" si="0"/>
        <v>0</v>
      </c>
      <c r="H30" s="223"/>
      <c r="I30" s="223"/>
      <c r="J30" s="223"/>
      <c r="K30" s="223"/>
    </row>
    <row r="31" spans="1:13" s="217" customFormat="1" ht="21.75" customHeight="1">
      <c r="A31" s="231" t="s">
        <v>257</v>
      </c>
      <c r="B31" s="224" t="s">
        <v>259</v>
      </c>
      <c r="C31" s="304"/>
      <c r="D31" s="223"/>
      <c r="E31" s="223">
        <v>198536</v>
      </c>
      <c r="F31" s="300">
        <f t="shared" si="0"/>
        <v>198536</v>
      </c>
      <c r="H31" s="223"/>
      <c r="I31" s="223"/>
      <c r="J31" s="223"/>
      <c r="K31" s="223"/>
    </row>
    <row r="32" spans="1:13" s="217" customFormat="1" ht="21.75" customHeight="1">
      <c r="A32" s="231" t="s">
        <v>257</v>
      </c>
      <c r="B32" s="224" t="s">
        <v>258</v>
      </c>
      <c r="C32" s="304"/>
      <c r="D32" s="223"/>
      <c r="E32" s="223"/>
      <c r="F32" s="300">
        <f t="shared" si="0"/>
        <v>0</v>
      </c>
      <c r="H32" s="223"/>
      <c r="I32" s="223"/>
      <c r="J32" s="223"/>
      <c r="K32" s="223"/>
    </row>
    <row r="33" spans="1:11" s="217" customFormat="1" ht="21.75" customHeight="1">
      <c r="A33" s="231" t="s">
        <v>257</v>
      </c>
      <c r="B33" s="224" t="s">
        <v>256</v>
      </c>
      <c r="C33" s="304"/>
      <c r="D33" s="223"/>
      <c r="E33" s="223"/>
      <c r="F33" s="300">
        <f t="shared" si="0"/>
        <v>0</v>
      </c>
      <c r="H33" s="223"/>
      <c r="I33" s="223"/>
      <c r="J33" s="223"/>
      <c r="K33" s="223"/>
    </row>
    <row r="34" spans="1:11" s="217" customFormat="1" ht="21.75" customHeight="1">
      <c r="A34" s="228" t="s">
        <v>197</v>
      </c>
      <c r="B34" s="227" t="s">
        <v>255</v>
      </c>
      <c r="C34" s="302"/>
      <c r="D34" s="330">
        <f>D16+D23-D29</f>
        <v>457538</v>
      </c>
      <c r="E34" s="330">
        <f>E16+E23-E29</f>
        <v>881315</v>
      </c>
      <c r="F34" s="300">
        <f t="shared" si="0"/>
        <v>423777</v>
      </c>
      <c r="H34" s="223"/>
      <c r="I34" s="223"/>
      <c r="J34" s="223"/>
      <c r="K34" s="223"/>
    </row>
    <row r="35" spans="1:11" s="217" customFormat="1" ht="37.15" customHeight="1">
      <c r="A35" s="228"/>
      <c r="B35" s="230" t="s">
        <v>254</v>
      </c>
      <c r="C35" s="303"/>
      <c r="D35" s="229"/>
      <c r="E35" s="229"/>
      <c r="F35" s="300">
        <f t="shared" si="0"/>
        <v>0</v>
      </c>
      <c r="H35" s="229"/>
      <c r="I35" s="229"/>
      <c r="J35" s="229"/>
      <c r="K35" s="229"/>
    </row>
    <row r="36" spans="1:11" s="217" customFormat="1" ht="21.75" customHeight="1">
      <c r="A36" s="225">
        <v>1</v>
      </c>
      <c r="B36" s="226" t="s">
        <v>253</v>
      </c>
      <c r="C36" s="303"/>
      <c r="D36" s="229">
        <v>282500</v>
      </c>
      <c r="E36" s="229">
        <v>297500</v>
      </c>
      <c r="F36" s="300">
        <f t="shared" si="0"/>
        <v>15000</v>
      </c>
      <c r="H36" s="229"/>
      <c r="I36" s="229"/>
      <c r="J36" s="229"/>
      <c r="K36" s="229"/>
    </row>
    <row r="37" spans="1:11" s="217" customFormat="1" ht="21.75" customHeight="1">
      <c r="A37" s="225">
        <v>2</v>
      </c>
      <c r="B37" s="226" t="s">
        <v>249</v>
      </c>
      <c r="C37" s="303"/>
      <c r="D37" s="229"/>
      <c r="E37" s="229">
        <v>100000</v>
      </c>
      <c r="F37" s="300">
        <f t="shared" si="0"/>
        <v>100000</v>
      </c>
      <c r="H37" s="229"/>
      <c r="I37" s="229"/>
      <c r="J37" s="229"/>
      <c r="K37" s="229"/>
    </row>
    <row r="38" spans="1:11" s="217" customFormat="1" ht="21.75" customHeight="1">
      <c r="A38" s="225">
        <v>3</v>
      </c>
      <c r="B38" s="224" t="s">
        <v>248</v>
      </c>
      <c r="C38" s="303"/>
      <c r="D38" s="229"/>
      <c r="E38" s="229"/>
      <c r="F38" s="300">
        <f t="shared" si="0"/>
        <v>0</v>
      </c>
      <c r="H38" s="229"/>
      <c r="I38" s="229"/>
      <c r="J38" s="229"/>
      <c r="K38" s="229"/>
    </row>
    <row r="39" spans="1:11" s="217" customFormat="1" ht="21.75" customHeight="1">
      <c r="A39" s="225">
        <v>4</v>
      </c>
      <c r="B39" s="224" t="s">
        <v>247</v>
      </c>
      <c r="C39" s="303"/>
      <c r="D39" s="229">
        <v>175038</v>
      </c>
      <c r="E39" s="229">
        <v>483815</v>
      </c>
      <c r="F39" s="300">
        <f t="shared" si="0"/>
        <v>308777</v>
      </c>
      <c r="H39" s="229"/>
      <c r="I39" s="229"/>
      <c r="J39" s="229"/>
      <c r="K39" s="229"/>
    </row>
    <row r="40" spans="1:11" s="217" customFormat="1" ht="21.75" customHeight="1">
      <c r="A40" s="225">
        <f>A39+1</f>
        <v>5</v>
      </c>
      <c r="B40" s="224" t="s">
        <v>246</v>
      </c>
      <c r="C40" s="304"/>
      <c r="D40" s="223"/>
      <c r="E40" s="223"/>
      <c r="F40" s="300">
        <f t="shared" si="0"/>
        <v>0</v>
      </c>
      <c r="H40" s="223"/>
      <c r="I40" s="223"/>
      <c r="J40" s="223"/>
      <c r="K40" s="223"/>
    </row>
    <row r="41" spans="1:11" s="217" customFormat="1" ht="21.75" customHeight="1">
      <c r="A41" s="228" t="s">
        <v>252</v>
      </c>
      <c r="B41" s="227" t="s">
        <v>251</v>
      </c>
      <c r="C41" s="331">
        <v>909</v>
      </c>
      <c r="D41" s="330">
        <f>SUM(D42:D46)</f>
        <v>7482</v>
      </c>
      <c r="E41" s="330">
        <v>6528</v>
      </c>
      <c r="F41" s="300">
        <f t="shared" si="0"/>
        <v>-954</v>
      </c>
      <c r="H41" s="223"/>
      <c r="I41" s="223"/>
      <c r="J41" s="223"/>
      <c r="K41" s="223"/>
    </row>
    <row r="42" spans="1:11" s="217" customFormat="1" ht="21.75" customHeight="1">
      <c r="A42" s="225">
        <v>1</v>
      </c>
      <c r="B42" s="226" t="s">
        <v>250</v>
      </c>
      <c r="C42" s="304"/>
      <c r="D42" s="223"/>
      <c r="E42" s="223"/>
      <c r="F42" s="300">
        <f t="shared" si="0"/>
        <v>0</v>
      </c>
      <c r="H42" s="223"/>
      <c r="I42" s="223"/>
      <c r="J42" s="223"/>
      <c r="K42" s="223"/>
    </row>
    <row r="43" spans="1:11" s="217" customFormat="1" ht="21.75" customHeight="1">
      <c r="A43" s="225">
        <v>2</v>
      </c>
      <c r="B43" s="226" t="s">
        <v>249</v>
      </c>
      <c r="C43" s="304"/>
      <c r="D43" s="223"/>
      <c r="E43" s="223"/>
      <c r="F43" s="300">
        <f t="shared" si="0"/>
        <v>0</v>
      </c>
      <c r="H43" s="223"/>
      <c r="I43" s="223"/>
      <c r="J43" s="223"/>
      <c r="K43" s="223"/>
    </row>
    <row r="44" spans="1:11" s="217" customFormat="1" ht="21.75" customHeight="1">
      <c r="A44" s="225">
        <v>3</v>
      </c>
      <c r="B44" s="224" t="s">
        <v>248</v>
      </c>
      <c r="C44" s="304"/>
      <c r="D44" s="223"/>
      <c r="E44" s="223"/>
      <c r="F44" s="300">
        <f t="shared" si="0"/>
        <v>0</v>
      </c>
      <c r="H44" s="223"/>
      <c r="I44" s="223"/>
      <c r="J44" s="223"/>
      <c r="K44" s="223"/>
    </row>
    <row r="45" spans="1:11" s="217" customFormat="1" ht="21.75" customHeight="1">
      <c r="A45" s="225">
        <v>4</v>
      </c>
      <c r="B45" s="224" t="s">
        <v>247</v>
      </c>
      <c r="C45" s="304">
        <v>909</v>
      </c>
      <c r="D45" s="223">
        <v>7482</v>
      </c>
      <c r="E45" s="223">
        <v>6528</v>
      </c>
      <c r="F45" s="300">
        <f t="shared" si="0"/>
        <v>-954</v>
      </c>
      <c r="H45" s="223"/>
      <c r="I45" s="223"/>
      <c r="J45" s="223"/>
      <c r="K45" s="223"/>
    </row>
    <row r="46" spans="1:11" s="217" customFormat="1" ht="21.75" customHeight="1">
      <c r="A46" s="225">
        <f>A45+1</f>
        <v>5</v>
      </c>
      <c r="B46" s="224" t="s">
        <v>246</v>
      </c>
      <c r="C46" s="304"/>
      <c r="D46" s="223"/>
      <c r="E46" s="223"/>
      <c r="F46" s="300">
        <f t="shared" si="0"/>
        <v>0</v>
      </c>
      <c r="H46" s="223"/>
      <c r="I46" s="223"/>
      <c r="J46" s="223"/>
      <c r="K46" s="223"/>
    </row>
    <row r="47" spans="1:11" ht="15.95" customHeight="1" thickBot="1">
      <c r="A47" s="222"/>
      <c r="B47" s="221"/>
      <c r="C47" s="221"/>
      <c r="D47" s="219"/>
      <c r="E47" s="219"/>
      <c r="F47" s="220"/>
      <c r="H47" s="219"/>
      <c r="I47" s="219"/>
      <c r="J47" s="219"/>
      <c r="K47" s="219"/>
    </row>
    <row r="48" spans="1:11" ht="69.599999999999994" customHeight="1">
      <c r="A48" s="996" t="s">
        <v>245</v>
      </c>
      <c r="B48" s="996"/>
      <c r="C48" s="996"/>
      <c r="D48" s="996"/>
      <c r="E48" s="996"/>
      <c r="F48" s="996"/>
      <c r="H48" s="218"/>
      <c r="I48" s="218"/>
      <c r="J48" s="218"/>
      <c r="K48" s="218"/>
    </row>
    <row r="49" spans="1:11" ht="18.75">
      <c r="A49" s="217"/>
      <c r="B49" s="217"/>
      <c r="C49" s="217"/>
      <c r="D49" s="217"/>
      <c r="E49" s="217"/>
      <c r="F49" s="217"/>
      <c r="H49" s="217"/>
      <c r="I49" s="217"/>
      <c r="J49" s="217"/>
      <c r="K49" s="217"/>
    </row>
  </sheetData>
  <mergeCells count="5">
    <mergeCell ref="A48:F48"/>
    <mergeCell ref="A3:F3"/>
    <mergeCell ref="E5:F5"/>
    <mergeCell ref="J5:K5"/>
    <mergeCell ref="C6:D6"/>
  </mergeCells>
  <phoneticPr fontId="0" type="noConversion"/>
  <printOptions horizontalCentered="1"/>
  <pageMargins left="0.31496062992126" right="0.35433070866141703" top="0.23622047244094499" bottom="0.23622047244094499" header="0.196850393700787" footer="0.15748031496063"/>
  <pageSetup paperSize="9" scale="60" fitToHeight="5" orientation="portrait" r:id="rId1"/>
  <headerFooter alignWithMargins="0">
    <oddHeader xml:space="preserve">&amp;C                                                                                                                                  </oddHeader>
    <oddFooter xml:space="preserve">&amp;C&amp;".VnTime,Italic"&amp;8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2"/>
  <sheetViews>
    <sheetView topLeftCell="A139" workbookViewId="0">
      <selection activeCell="D49" sqref="D49"/>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H11+H41+H53+H90+H100+H107+H114+H128+H138+H148+H149+H161+H174</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371</v>
      </c>
    </row>
    <row r="7" spans="1:256" s="77" customFormat="1" ht="21" customHeight="1">
      <c r="A7" s="1001"/>
      <c r="B7" s="978"/>
      <c r="C7" s="980"/>
      <c r="D7" s="980"/>
      <c r="E7" s="980"/>
      <c r="F7" s="980"/>
      <c r="G7" s="980"/>
      <c r="H7" s="980"/>
      <c r="I7" s="980"/>
      <c r="J7" s="1002" t="s">
        <v>353</v>
      </c>
      <c r="K7" s="1002" t="s">
        <v>354</v>
      </c>
      <c r="L7" s="980"/>
    </row>
    <row r="8" spans="1:256" s="77" customFormat="1" ht="24.75" customHeight="1">
      <c r="A8" s="1001"/>
      <c r="B8" s="978"/>
      <c r="C8" s="980"/>
      <c r="D8" s="980"/>
      <c r="E8" s="980"/>
      <c r="F8" s="980"/>
      <c r="G8" s="980"/>
      <c r="H8" s="980"/>
      <c r="I8" s="980"/>
      <c r="J8" s="1002"/>
      <c r="K8" s="1002"/>
      <c r="L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81"/>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'BTC-Chinh thuc'!H10</f>
        <v>10646879.411932841</v>
      </c>
      <c r="I10" s="419">
        <f>'BTC-Chinh thuc'!I10</f>
        <v>9422769.4807999991</v>
      </c>
      <c r="J10" s="419">
        <f>'BTC-Chinh thuc'!J10</f>
        <v>2626841.4808</v>
      </c>
      <c r="K10" s="419">
        <f>'BTC-Chinh thuc'!K10</f>
        <v>6020764</v>
      </c>
      <c r="L10" s="419">
        <f>'BTC-Chinh thuc'!L10</f>
        <v>775164</v>
      </c>
      <c r="M10" s="69"/>
      <c r="N10" s="69"/>
      <c r="O10" s="69"/>
      <c r="P10" s="69"/>
      <c r="Q10" s="69"/>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9">
        <f>'BTC-Chinh thuc'!I11</f>
        <v>3790888</v>
      </c>
      <c r="J11" s="349">
        <f>'BTC-Chinh thuc'!J11</f>
        <v>782211</v>
      </c>
      <c r="K11" s="349">
        <f>'BTC-Chinh thuc'!K11</f>
        <v>2835567</v>
      </c>
      <c r="L11" s="349">
        <f>'BTC-Chinh thuc'!L11</f>
        <v>173110</v>
      </c>
      <c r="M11" s="95"/>
      <c r="N11" s="95"/>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9">
        <f>'BTC-Chinh thuc'!I12</f>
        <v>3530777</v>
      </c>
      <c r="J12" s="349">
        <f>'BTC-Chinh thuc'!J12</f>
        <v>626804</v>
      </c>
      <c r="K12" s="349">
        <f>'BTC-Chinh thuc'!K12</f>
        <v>2800863</v>
      </c>
      <c r="L12" s="349">
        <f>'BTC-Chinh thuc'!L12</f>
        <v>103110</v>
      </c>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hidden="1" customHeight="1">
      <c r="A13" s="350" t="s">
        <v>24</v>
      </c>
      <c r="B13" s="351" t="s">
        <v>47</v>
      </c>
      <c r="C13" s="346"/>
      <c r="D13" s="348"/>
      <c r="E13" s="348">
        <v>415361</v>
      </c>
      <c r="F13" s="348">
        <v>415361</v>
      </c>
      <c r="G13" s="346"/>
      <c r="H13" s="348">
        <f>H14+H15+H16+H17</f>
        <v>1628040.6290249999</v>
      </c>
      <c r="I13" s="349">
        <f>'BTC-Chinh thuc'!I13</f>
        <v>3236200</v>
      </c>
      <c r="J13" s="349">
        <f>'BTC-Chinh thuc'!J13</f>
        <v>456082</v>
      </c>
      <c r="K13" s="349">
        <f>'BTC-Chinh thuc'!K13</f>
        <v>2780118</v>
      </c>
      <c r="L13" s="349">
        <f>'BTC-Chinh thuc'!L13</f>
        <v>0</v>
      </c>
      <c r="M13" s="105"/>
      <c r="N13" s="105"/>
      <c r="O13" s="105"/>
      <c r="P13" s="105"/>
      <c r="Q13" s="105"/>
      <c r="R13" s="105"/>
      <c r="S13" s="105"/>
      <c r="T13" s="105"/>
      <c r="U13" s="105"/>
      <c r="V13" s="105"/>
      <c r="W13" s="105"/>
      <c r="X13" s="105"/>
      <c r="Y13" s="105"/>
      <c r="Z13" s="105"/>
      <c r="AA13" s="105"/>
      <c r="AB13" s="105"/>
      <c r="AC13" s="105"/>
      <c r="AD13" s="105"/>
    </row>
    <row r="14" spans="1:256" ht="18" hidden="1" customHeight="1">
      <c r="A14" s="352"/>
      <c r="B14" s="353" t="s">
        <v>48</v>
      </c>
      <c r="C14" s="346" t="s">
        <v>49</v>
      </c>
      <c r="D14" s="354"/>
      <c r="E14" s="354">
        <v>53622</v>
      </c>
      <c r="F14" s="354">
        <v>53622</v>
      </c>
      <c r="G14" s="354">
        <v>2148100</v>
      </c>
      <c r="H14" s="354">
        <f>F14*G14*(1+$G$181)/1000000</f>
        <v>155500.31456999999</v>
      </c>
      <c r="I14" s="349">
        <f>'BTC-Chinh thuc'!I14</f>
        <v>0</v>
      </c>
      <c r="J14" s="349">
        <f>'BTC-Chinh thuc'!J14</f>
        <v>0</v>
      </c>
      <c r="K14" s="349">
        <f>'BTC-Chinh thuc'!K14</f>
        <v>0</v>
      </c>
      <c r="L14" s="349">
        <f>'BTC-Chinh thuc'!L14</f>
        <v>0</v>
      </c>
      <c r="M14" s="69">
        <f>F14*G14</f>
        <v>115185418200</v>
      </c>
      <c r="N14" s="69"/>
      <c r="O14" s="69"/>
      <c r="P14" s="69"/>
      <c r="Q14" s="69"/>
      <c r="R14" s="69"/>
      <c r="S14" s="69"/>
      <c r="T14" s="69"/>
      <c r="U14" s="69"/>
      <c r="V14" s="69"/>
      <c r="W14" s="69"/>
      <c r="X14" s="69"/>
      <c r="Y14" s="69"/>
      <c r="Z14" s="69"/>
      <c r="AA14" s="69"/>
      <c r="AB14" s="69"/>
      <c r="AC14" s="69"/>
      <c r="AD14" s="69"/>
    </row>
    <row r="15" spans="1:256" ht="18" hidden="1" customHeight="1">
      <c r="A15" s="352"/>
      <c r="B15" s="353" t="s">
        <v>50</v>
      </c>
      <c r="C15" s="346" t="s">
        <v>49</v>
      </c>
      <c r="D15" s="354"/>
      <c r="E15" s="354">
        <v>238833</v>
      </c>
      <c r="F15" s="354">
        <v>238833</v>
      </c>
      <c r="G15" s="354">
        <v>2527200</v>
      </c>
      <c r="H15" s="354">
        <f>F15*G15*(1+$G$181)/1000000</f>
        <v>814831.32276000001</v>
      </c>
      <c r="I15" s="349">
        <f>'BTC-Chinh thuc'!I15</f>
        <v>0</v>
      </c>
      <c r="J15" s="349">
        <f>'BTC-Chinh thuc'!J15</f>
        <v>0</v>
      </c>
      <c r="K15" s="349">
        <f>'BTC-Chinh thuc'!K15</f>
        <v>0</v>
      </c>
      <c r="L15" s="349">
        <f>'BTC-Chinh thuc'!L15</f>
        <v>0</v>
      </c>
      <c r="M15" s="69">
        <f>F15*G15</f>
        <v>603578757600</v>
      </c>
      <c r="N15" s="69"/>
      <c r="O15" s="69"/>
      <c r="P15" s="69"/>
      <c r="Q15" s="69"/>
      <c r="R15" s="69"/>
      <c r="S15" s="69"/>
      <c r="T15" s="69"/>
      <c r="U15" s="69"/>
      <c r="V15" s="69"/>
      <c r="W15" s="69"/>
      <c r="X15" s="69"/>
      <c r="Y15" s="69"/>
      <c r="Z15" s="69"/>
      <c r="AA15" s="69"/>
      <c r="AB15" s="69"/>
      <c r="AC15" s="69"/>
      <c r="AD15" s="69"/>
    </row>
    <row r="16" spans="1:256" ht="18" hidden="1" customHeight="1">
      <c r="A16" s="352"/>
      <c r="B16" s="353" t="s">
        <v>51</v>
      </c>
      <c r="C16" s="346" t="s">
        <v>49</v>
      </c>
      <c r="D16" s="354"/>
      <c r="E16" s="354">
        <v>88389</v>
      </c>
      <c r="F16" s="354">
        <v>88389</v>
      </c>
      <c r="G16" s="354">
        <v>3538100</v>
      </c>
      <c r="H16" s="354">
        <f>F16*G16*(1+$G$181)/1000000</f>
        <v>422184.31321499997</v>
      </c>
      <c r="I16" s="349">
        <f>'BTC-Chinh thuc'!I16</f>
        <v>0</v>
      </c>
      <c r="J16" s="349">
        <f>'BTC-Chinh thuc'!J16</f>
        <v>0</v>
      </c>
      <c r="K16" s="349">
        <f>'BTC-Chinh thuc'!K16</f>
        <v>0</v>
      </c>
      <c r="L16" s="349">
        <f>'BTC-Chinh thuc'!L16</f>
        <v>0</v>
      </c>
      <c r="M16" s="69">
        <f>F16*G16</f>
        <v>312729120900</v>
      </c>
      <c r="N16" s="69"/>
      <c r="O16" s="69"/>
      <c r="P16" s="69"/>
      <c r="Q16" s="69"/>
      <c r="R16" s="69"/>
      <c r="S16" s="69"/>
      <c r="T16" s="69"/>
      <c r="U16" s="69"/>
      <c r="V16" s="69"/>
      <c r="W16" s="69"/>
      <c r="X16" s="69"/>
      <c r="Y16" s="69"/>
      <c r="Z16" s="69"/>
      <c r="AA16" s="69"/>
      <c r="AB16" s="69"/>
      <c r="AC16" s="69"/>
      <c r="AD16" s="69"/>
    </row>
    <row r="17" spans="1:30" ht="18" hidden="1" customHeight="1">
      <c r="A17" s="352"/>
      <c r="B17" s="353" t="s">
        <v>52</v>
      </c>
      <c r="C17" s="346" t="s">
        <v>49</v>
      </c>
      <c r="D17" s="354"/>
      <c r="E17" s="354">
        <v>34517</v>
      </c>
      <c r="F17" s="354">
        <v>34517</v>
      </c>
      <c r="G17" s="354">
        <v>5054400</v>
      </c>
      <c r="H17" s="354">
        <f>F17*G17*(1+$G$181)/1000000</f>
        <v>235524.67848000003</v>
      </c>
      <c r="I17" s="349">
        <f>'BTC-Chinh thuc'!I17</f>
        <v>0</v>
      </c>
      <c r="J17" s="349">
        <f>'BTC-Chinh thuc'!J17</f>
        <v>0</v>
      </c>
      <c r="K17" s="349">
        <f>'BTC-Chinh thuc'!K17</f>
        <v>0</v>
      </c>
      <c r="L17" s="349">
        <f>'BTC-Chinh thuc'!L17</f>
        <v>0</v>
      </c>
      <c r="M17" s="69">
        <f>F17*G17</f>
        <v>174462724800</v>
      </c>
      <c r="N17" s="69"/>
      <c r="O17" s="69"/>
      <c r="P17" s="69"/>
      <c r="Q17" s="69"/>
      <c r="R17" s="69"/>
      <c r="S17" s="69"/>
      <c r="T17" s="69"/>
      <c r="U17" s="69"/>
      <c r="V17" s="69"/>
      <c r="W17" s="69"/>
      <c r="X17" s="69"/>
      <c r="Y17" s="69"/>
      <c r="Z17" s="69"/>
      <c r="AA17" s="69"/>
      <c r="AB17" s="69"/>
      <c r="AC17" s="69"/>
      <c r="AD17" s="69"/>
    </row>
    <row r="18" spans="1:30" s="106" customFormat="1" ht="18" hidden="1" customHeight="1">
      <c r="A18" s="350" t="s">
        <v>25</v>
      </c>
      <c r="B18" s="355" t="s">
        <v>337</v>
      </c>
      <c r="C18" s="346"/>
      <c r="D18" s="348"/>
      <c r="E18" s="356"/>
      <c r="F18" s="356"/>
      <c r="G18" s="348"/>
      <c r="H18" s="348">
        <f>+IF(H29&gt;82%,(H19+H26+H27+H28)/82%-H13,0)</f>
        <v>1754634.3512817316</v>
      </c>
      <c r="I18" s="349">
        <f>'BTC-Chinh thuc'!I18</f>
        <v>0</v>
      </c>
      <c r="J18" s="349">
        <f>'BTC-Chinh thuc'!J18</f>
        <v>0</v>
      </c>
      <c r="K18" s="349">
        <f>'BTC-Chinh thuc'!K18</f>
        <v>0</v>
      </c>
      <c r="L18" s="349">
        <f>'BTC-Chinh thuc'!L18</f>
        <v>0</v>
      </c>
      <c r="M18" s="105"/>
      <c r="N18" s="105"/>
      <c r="O18" s="105"/>
      <c r="P18" s="105"/>
      <c r="Q18" s="105"/>
      <c r="R18" s="105"/>
      <c r="S18" s="105"/>
      <c r="T18" s="105"/>
      <c r="U18" s="105"/>
      <c r="V18" s="105"/>
      <c r="W18" s="105"/>
      <c r="X18" s="105"/>
      <c r="Y18" s="105"/>
      <c r="Z18" s="105"/>
      <c r="AA18" s="105"/>
      <c r="AB18" s="105"/>
      <c r="AC18" s="105"/>
      <c r="AD18" s="105"/>
    </row>
    <row r="19" spans="1:30" s="106" customFormat="1" ht="18" hidden="1" customHeight="1">
      <c r="A19" s="350"/>
      <c r="B19" s="355" t="s">
        <v>313</v>
      </c>
      <c r="C19" s="346"/>
      <c r="D19" s="348"/>
      <c r="E19" s="356"/>
      <c r="F19" s="356"/>
      <c r="G19" s="348"/>
      <c r="H19" s="348">
        <v>2662559.0438515199</v>
      </c>
      <c r="I19" s="349">
        <f>'BTC-Chinh thuc'!I19</f>
        <v>0</v>
      </c>
      <c r="J19" s="349">
        <f>'BTC-Chinh thuc'!J19</f>
        <v>0</v>
      </c>
      <c r="K19" s="349">
        <f>'BTC-Chinh thuc'!K19</f>
        <v>0</v>
      </c>
      <c r="L19" s="349">
        <f>'BTC-Chinh thuc'!L19</f>
        <v>0</v>
      </c>
      <c r="M19" s="105"/>
      <c r="N19" s="105"/>
      <c r="O19" s="105"/>
      <c r="P19" s="105"/>
      <c r="Q19" s="105"/>
      <c r="R19" s="105"/>
      <c r="S19" s="105"/>
      <c r="T19" s="105"/>
      <c r="U19" s="105"/>
      <c r="V19" s="105"/>
      <c r="W19" s="105"/>
      <c r="X19" s="105"/>
      <c r="Y19" s="105"/>
      <c r="Z19" s="105"/>
      <c r="AA19" s="105"/>
      <c r="AB19" s="105"/>
      <c r="AC19" s="105"/>
      <c r="AD19" s="105"/>
    </row>
    <row r="20" spans="1:30" s="106" customFormat="1" ht="18" hidden="1" customHeight="1">
      <c r="A20" s="350"/>
      <c r="B20" s="357" t="s">
        <v>211</v>
      </c>
      <c r="C20" s="346"/>
      <c r="D20" s="348"/>
      <c r="E20" s="358">
        <v>24106</v>
      </c>
      <c r="F20" s="358">
        <v>24106</v>
      </c>
      <c r="G20" s="348"/>
      <c r="H20" s="354"/>
      <c r="I20" s="349">
        <f>'BTC-Chinh thuc'!I20</f>
        <v>0</v>
      </c>
      <c r="J20" s="349">
        <f>'BTC-Chinh thuc'!J20</f>
        <v>0</v>
      </c>
      <c r="K20" s="349">
        <f>'BTC-Chinh thuc'!K20</f>
        <v>0</v>
      </c>
      <c r="L20" s="349">
        <f>'BTC-Chinh thuc'!L20</f>
        <v>0</v>
      </c>
      <c r="M20" s="105"/>
      <c r="N20" s="105"/>
      <c r="O20" s="105"/>
      <c r="P20" s="105"/>
      <c r="Q20" s="105"/>
      <c r="R20" s="105"/>
      <c r="S20" s="105"/>
      <c r="T20" s="105"/>
      <c r="U20" s="105"/>
      <c r="V20" s="105"/>
      <c r="W20" s="105"/>
      <c r="X20" s="105"/>
      <c r="Y20" s="105"/>
      <c r="Z20" s="105"/>
      <c r="AA20" s="105"/>
      <c r="AB20" s="105"/>
      <c r="AC20" s="105"/>
      <c r="AD20" s="105"/>
    </row>
    <row r="21" spans="1:30" s="106" customFormat="1" ht="17.25" hidden="1" customHeight="1">
      <c r="A21" s="350"/>
      <c r="B21" s="357" t="s">
        <v>160</v>
      </c>
      <c r="C21" s="346"/>
      <c r="D21" s="348"/>
      <c r="E21" s="358">
        <v>24106</v>
      </c>
      <c r="F21" s="358">
        <v>24106</v>
      </c>
      <c r="G21" s="348"/>
      <c r="H21" s="354"/>
      <c r="I21" s="349">
        <f>'BTC-Chinh thuc'!I21</f>
        <v>0</v>
      </c>
      <c r="J21" s="349">
        <f>'BTC-Chinh thuc'!J21</f>
        <v>0</v>
      </c>
      <c r="K21" s="349">
        <f>'BTC-Chinh thuc'!K21</f>
        <v>0</v>
      </c>
      <c r="L21" s="349">
        <f>'BTC-Chinh thuc'!L21</f>
        <v>0</v>
      </c>
      <c r="M21" s="105"/>
      <c r="N21" s="105"/>
      <c r="O21" s="105"/>
      <c r="P21" s="105"/>
      <c r="Q21" s="105"/>
      <c r="R21" s="105"/>
      <c r="S21" s="105"/>
      <c r="T21" s="105"/>
      <c r="U21" s="105"/>
      <c r="V21" s="105"/>
      <c r="W21" s="105"/>
      <c r="X21" s="105"/>
      <c r="Y21" s="105"/>
      <c r="Z21" s="105"/>
      <c r="AA21" s="105"/>
      <c r="AB21" s="105"/>
      <c r="AC21" s="105"/>
      <c r="AD21" s="105"/>
    </row>
    <row r="22" spans="1:30" s="106" customFormat="1" ht="18" hidden="1" customHeight="1">
      <c r="A22" s="350"/>
      <c r="B22" s="357" t="s">
        <v>298</v>
      </c>
      <c r="C22" s="346"/>
      <c r="D22" s="348"/>
      <c r="E22" s="359">
        <v>3.61</v>
      </c>
      <c r="F22" s="359">
        <v>3.61</v>
      </c>
      <c r="G22" s="348"/>
      <c r="H22" s="354"/>
      <c r="I22" s="349">
        <f>'BTC-Chinh thuc'!I22</f>
        <v>0</v>
      </c>
      <c r="J22" s="349">
        <f>'BTC-Chinh thuc'!J22</f>
        <v>0</v>
      </c>
      <c r="K22" s="349">
        <f>'BTC-Chinh thuc'!K22</f>
        <v>0</v>
      </c>
      <c r="L22" s="349">
        <f>'BTC-Chinh thuc'!L22</f>
        <v>0</v>
      </c>
      <c r="M22" s="94"/>
      <c r="N22" s="105"/>
      <c r="O22" s="105"/>
      <c r="P22" s="105"/>
      <c r="Q22" s="105"/>
      <c r="R22" s="105"/>
      <c r="S22" s="105"/>
      <c r="T22" s="105"/>
      <c r="U22" s="105"/>
      <c r="V22" s="105"/>
      <c r="W22" s="105"/>
      <c r="X22" s="105"/>
      <c r="Y22" s="105"/>
      <c r="Z22" s="105"/>
      <c r="AA22" s="105"/>
      <c r="AB22" s="105"/>
      <c r="AC22" s="105"/>
      <c r="AD22" s="105"/>
    </row>
    <row r="23" spans="1:30" s="106" customFormat="1" ht="18" hidden="1" customHeight="1">
      <c r="A23" s="350"/>
      <c r="B23" s="357" t="s">
        <v>297</v>
      </c>
      <c r="C23" s="346"/>
      <c r="D23" s="348"/>
      <c r="E23" s="359">
        <v>2.96</v>
      </c>
      <c r="F23" s="359">
        <v>2.96</v>
      </c>
      <c r="G23" s="348"/>
      <c r="H23" s="354"/>
      <c r="I23" s="349">
        <f>'BTC-Chinh thuc'!I23</f>
        <v>0</v>
      </c>
      <c r="J23" s="349">
        <f>'BTC-Chinh thuc'!J23</f>
        <v>0</v>
      </c>
      <c r="K23" s="349">
        <f>'BTC-Chinh thuc'!K23</f>
        <v>0</v>
      </c>
      <c r="L23" s="349">
        <f>'BTC-Chinh thuc'!L23</f>
        <v>0</v>
      </c>
      <c r="M23" s="94"/>
      <c r="N23" s="105"/>
      <c r="O23" s="105"/>
      <c r="P23" s="105"/>
      <c r="Q23" s="105"/>
      <c r="R23" s="105"/>
      <c r="S23" s="105"/>
      <c r="T23" s="105"/>
      <c r="U23" s="105"/>
      <c r="V23" s="105"/>
      <c r="W23" s="105"/>
      <c r="X23" s="105"/>
      <c r="Y23" s="105"/>
      <c r="Z23" s="105"/>
      <c r="AA23" s="105"/>
      <c r="AB23" s="105"/>
      <c r="AC23" s="105"/>
      <c r="AD23" s="105"/>
    </row>
    <row r="24" spans="1:30" s="106" customFormat="1" ht="18" hidden="1" customHeight="1">
      <c r="A24" s="350"/>
      <c r="B24" s="357" t="s">
        <v>321</v>
      </c>
      <c r="C24" s="346"/>
      <c r="D24" s="348"/>
      <c r="E24" s="361">
        <v>0.24</v>
      </c>
      <c r="F24" s="361">
        <v>0.24</v>
      </c>
      <c r="G24" s="348"/>
      <c r="H24" s="354"/>
      <c r="I24" s="349">
        <f>'BTC-Chinh thuc'!I24</f>
        <v>0</v>
      </c>
      <c r="J24" s="349">
        <f>'BTC-Chinh thuc'!J24</f>
        <v>0</v>
      </c>
      <c r="K24" s="349">
        <f>'BTC-Chinh thuc'!K24</f>
        <v>0</v>
      </c>
      <c r="L24" s="349">
        <f>'BTC-Chinh thuc'!L24</f>
        <v>0</v>
      </c>
      <c r="M24" s="94"/>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9">
        <f>'BTC-Chinh thuc'!I25</f>
        <v>0</v>
      </c>
      <c r="J25" s="349">
        <f>'BTC-Chinh thuc'!J25</f>
        <v>0</v>
      </c>
      <c r="K25" s="349">
        <f>'BTC-Chinh thuc'!K25</f>
        <v>0</v>
      </c>
      <c r="L25" s="349">
        <f>'BTC-Chinh thuc'!L25</f>
        <v>0</v>
      </c>
      <c r="M25" s="94"/>
      <c r="N25" s="105"/>
      <c r="O25" s="105"/>
      <c r="P25" s="105"/>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49">
        <f>'BTC-Chinh thuc'!I26</f>
        <v>51865</v>
      </c>
      <c r="J26" s="349">
        <f>'BTC-Chinh thuc'!J26</f>
        <v>31120</v>
      </c>
      <c r="K26" s="349">
        <f>'BTC-Chinh thuc'!K26</f>
        <v>20745</v>
      </c>
      <c r="L26" s="349">
        <f>'BTC-Chinh thuc'!L26</f>
        <v>0.44000000000232831</v>
      </c>
      <c r="M26" s="105"/>
      <c r="N26" s="105"/>
      <c r="O26" s="105"/>
      <c r="P26" s="105"/>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49">
        <f>'BTC-Chinh thuc'!I27</f>
        <v>59369</v>
      </c>
      <c r="J27" s="349">
        <f>'BTC-Chinh thuc'!J27</f>
        <v>59369</v>
      </c>
      <c r="K27" s="349">
        <f>'BTC-Chinh thuc'!K27</f>
        <v>0</v>
      </c>
      <c r="L27" s="349">
        <f>'BTC-Chinh thuc'!L27</f>
        <v>0</v>
      </c>
      <c r="M27" s="193"/>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49">
        <f>'BTC-Chinh thuc'!I28</f>
        <v>0</v>
      </c>
      <c r="J28" s="349">
        <f>'BTC-Chinh thuc'!J28</f>
        <v>0</v>
      </c>
      <c r="K28" s="349">
        <f>'BTC-Chinh thuc'!K28</f>
        <v>0</v>
      </c>
      <c r="L28" s="349">
        <f>'BTC-Chinh thuc'!L28</f>
        <v>0</v>
      </c>
      <c r="M28" s="193"/>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49">
        <f>'BTC-Chinh thuc'!I29</f>
        <v>0</v>
      </c>
      <c r="J29" s="349">
        <f>'BTC-Chinh thuc'!J29</f>
        <v>0</v>
      </c>
      <c r="K29" s="349">
        <f>'BTC-Chinh thuc'!K29</f>
        <v>0</v>
      </c>
      <c r="L29" s="349">
        <f>'BTC-Chinh thuc'!L29</f>
        <v>1.703761831492306</v>
      </c>
      <c r="M29" s="69"/>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49">
        <f>'BTC-Chinh thuc'!I30</f>
        <v>30697</v>
      </c>
      <c r="J30" s="349">
        <f>'BTC-Chinh thuc'!J30</f>
        <v>30697</v>
      </c>
      <c r="K30" s="349">
        <f>'BTC-Chinh thuc'!K30</f>
        <v>0</v>
      </c>
      <c r="L30" s="349">
        <f>'BTC-Chinh thuc'!L30</f>
        <v>-0.16000000000349246</v>
      </c>
      <c r="M30" s="105"/>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49">
        <f>'BTC-Chinh thuc'!I31</f>
        <v>9867</v>
      </c>
      <c r="J31" s="349">
        <f>'BTC-Chinh thuc'!J31</f>
        <v>9867</v>
      </c>
      <c r="K31" s="349">
        <f>'BTC-Chinh thuc'!K31</f>
        <v>0</v>
      </c>
      <c r="L31" s="349">
        <f>'BTC-Chinh thuc'!L31</f>
        <v>0.39199999999982538</v>
      </c>
      <c r="M31" s="193"/>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49">
        <f>'BTC-Chinh thuc'!I32</f>
        <v>34188</v>
      </c>
      <c r="J32" s="349">
        <f>'BTC-Chinh thuc'!J32</f>
        <v>34188</v>
      </c>
      <c r="K32" s="349">
        <f>'BTC-Chinh thuc'!K32</f>
        <v>0</v>
      </c>
      <c r="L32" s="349">
        <f>'BTC-Chinh thuc'!L32</f>
        <v>0</v>
      </c>
      <c r="M32" s="193"/>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49">
        <f>'BTC-Chinh thuc'!I33</f>
        <v>5481</v>
      </c>
      <c r="J33" s="349">
        <f>'BTC-Chinh thuc'!J33</f>
        <v>5481</v>
      </c>
      <c r="K33" s="349">
        <f>'BTC-Chinh thuc'!K33</f>
        <v>0</v>
      </c>
      <c r="L33" s="349">
        <f>'BTC-Chinh thuc'!L33</f>
        <v>0.3000000000001819</v>
      </c>
      <c r="M33" s="105"/>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9">
        <f>'BTC-Chinh thuc'!I34</f>
        <v>260111</v>
      </c>
      <c r="J34" s="349">
        <f>'BTC-Chinh thuc'!J34</f>
        <v>155407</v>
      </c>
      <c r="K34" s="349">
        <f>'BTC-Chinh thuc'!K34</f>
        <v>34704</v>
      </c>
      <c r="L34" s="349">
        <f>'BTC-Chinh thuc'!L34</f>
        <v>70000</v>
      </c>
      <c r="M34" s="99"/>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9">
        <f>'BTC-Chinh thuc'!I35</f>
        <v>0</v>
      </c>
      <c r="J35" s="349">
        <f>'BTC-Chinh thuc'!J35</f>
        <v>0</v>
      </c>
      <c r="K35" s="349">
        <f>'BTC-Chinh thuc'!K35</f>
        <v>0</v>
      </c>
      <c r="L35" s="349">
        <f>'BTC-Chinh thuc'!L35</f>
        <v>172984.42147500001</v>
      </c>
      <c r="M35" s="99"/>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9">
        <f>'BTC-Chinh thuc'!I36</f>
        <v>0</v>
      </c>
      <c r="J36" s="349">
        <f>'BTC-Chinh thuc'!J36</f>
        <v>0</v>
      </c>
      <c r="K36" s="349">
        <f>'BTC-Chinh thuc'!K36</f>
        <v>0</v>
      </c>
      <c r="L36" s="349">
        <f>'BTC-Chinh thuc'!L36</f>
        <v>17388.458999999999</v>
      </c>
      <c r="M36" s="69"/>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9">
        <f>'BTC-Chinh thuc'!I37</f>
        <v>0</v>
      </c>
      <c r="J37" s="349">
        <f>'BTC-Chinh thuc'!J37</f>
        <v>0</v>
      </c>
      <c r="K37" s="349">
        <f>'BTC-Chinh thuc'!K37</f>
        <v>0</v>
      </c>
      <c r="L37" s="349">
        <f>'BTC-Chinh thuc'!L37</f>
        <v>86099.277375000005</v>
      </c>
      <c r="M37" s="69"/>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9">
        <f>'BTC-Chinh thuc'!I38</f>
        <v>0</v>
      </c>
      <c r="J38" s="349">
        <f>'BTC-Chinh thuc'!J38</f>
        <v>0</v>
      </c>
      <c r="K38" s="349">
        <f>'BTC-Chinh thuc'!K38</f>
        <v>0</v>
      </c>
      <c r="L38" s="349">
        <f>'BTC-Chinh thuc'!L38</f>
        <v>44610.218099999998</v>
      </c>
      <c r="M38" s="69"/>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9">
        <f>'BTC-Chinh thuc'!I39</f>
        <v>0</v>
      </c>
      <c r="J39" s="349">
        <f>'BTC-Chinh thuc'!J39</f>
        <v>0</v>
      </c>
      <c r="K39" s="349">
        <f>'BTC-Chinh thuc'!K39</f>
        <v>0</v>
      </c>
      <c r="L39" s="349">
        <f>'BTC-Chinh thuc'!L39</f>
        <v>24886.467000000001</v>
      </c>
      <c r="M39" s="69"/>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9">
        <f>'BTC-Chinh thuc'!I40</f>
        <v>0</v>
      </c>
      <c r="J40" s="349">
        <f>'BTC-Chinh thuc'!J40</f>
        <v>0</v>
      </c>
      <c r="K40" s="349">
        <f>'BTC-Chinh thuc'!K40</f>
        <v>0</v>
      </c>
      <c r="L40" s="349">
        <f>'BTC-Chinh thuc'!L40</f>
        <v>0</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9">
        <f>'BTC-Chinh thuc'!I41</f>
        <v>944175</v>
      </c>
      <c r="J41" s="349">
        <f>'BTC-Chinh thuc'!J41</f>
        <v>853565</v>
      </c>
      <c r="K41" s="349">
        <f>'BTC-Chinh thuc'!K41</f>
        <v>43030</v>
      </c>
      <c r="L41" s="349">
        <f>'BTC-Chinh thuc'!L41</f>
        <v>47580</v>
      </c>
      <c r="M41" s="94"/>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49">
        <f>'BTC-Chinh thuc'!I42</f>
        <v>495490</v>
      </c>
      <c r="J42" s="349">
        <f>'BTC-Chinh thuc'!J42</f>
        <v>488810</v>
      </c>
      <c r="K42" s="349">
        <f>'BTC-Chinh thuc'!K42</f>
        <v>6680</v>
      </c>
      <c r="L42" s="349">
        <f>'BTC-Chinh thuc'!L42</f>
        <v>0</v>
      </c>
      <c r="M42" s="99"/>
      <c r="N42" s="99"/>
      <c r="O42" s="99"/>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49">
        <f>'BTC-Chinh thuc'!I43</f>
        <v>0</v>
      </c>
      <c r="J43" s="349">
        <f>'BTC-Chinh thuc'!J43</f>
        <v>0</v>
      </c>
      <c r="K43" s="349">
        <f>'BTC-Chinh thuc'!K43</f>
        <v>0</v>
      </c>
      <c r="L43" s="349">
        <f>'BTC-Chinh thuc'!L43</f>
        <v>47681.904690000003</v>
      </c>
      <c r="M43" s="69"/>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49">
        <f>'BTC-Chinh thuc'!I44</f>
        <v>0</v>
      </c>
      <c r="J44" s="349">
        <f>'BTC-Chinh thuc'!J44</f>
        <v>0</v>
      </c>
      <c r="K44" s="349">
        <f>'BTC-Chinh thuc'!K44</f>
        <v>0</v>
      </c>
      <c r="L44" s="349">
        <f>'BTC-Chinh thuc'!L44</f>
        <v>287000.88075000001</v>
      </c>
      <c r="M44" s="69"/>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49">
        <f>'BTC-Chinh thuc'!I45</f>
        <v>0</v>
      </c>
      <c r="J45" s="349">
        <f>'BTC-Chinh thuc'!J45</f>
        <v>0</v>
      </c>
      <c r="K45" s="349">
        <f>'BTC-Chinh thuc'!K45</f>
        <v>0</v>
      </c>
      <c r="L45" s="349">
        <f>'BTC-Chinh thuc'!L45</f>
        <v>143384.91007499999</v>
      </c>
      <c r="M45" s="69"/>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49">
        <f>'BTC-Chinh thuc'!I46</f>
        <v>0</v>
      </c>
      <c r="J46" s="349">
        <f>'BTC-Chinh thuc'!J46</f>
        <v>0</v>
      </c>
      <c r="K46" s="349">
        <f>'BTC-Chinh thuc'!K46</f>
        <v>0</v>
      </c>
      <c r="L46" s="349">
        <f>'BTC-Chinh thuc'!L46</f>
        <v>78806.618684999994</v>
      </c>
      <c r="M46" s="69"/>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49">
        <f>'BTC-Chinh thuc'!I47</f>
        <v>110015</v>
      </c>
      <c r="J47" s="349">
        <f>'BTC-Chinh thuc'!J47</f>
        <v>110015</v>
      </c>
      <c r="K47" s="349">
        <f>'BTC-Chinh thuc'!K47</f>
        <v>0</v>
      </c>
      <c r="L47" s="349">
        <f>'BTC-Chinh thuc'!L47</f>
        <v>-8.1799999999930151E-2</v>
      </c>
      <c r="M47" s="69"/>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49">
        <f>'BTC-Chinh thuc'!I48</f>
        <v>40585</v>
      </c>
      <c r="J48" s="349">
        <f>'BTC-Chinh thuc'!J48</f>
        <v>4235</v>
      </c>
      <c r="K48" s="349">
        <f>'BTC-Chinh thuc'!K48</f>
        <v>36350</v>
      </c>
      <c r="L48" s="349">
        <f>'BTC-Chinh thuc'!L48</f>
        <v>0.28760000000329455</v>
      </c>
      <c r="M48" s="69"/>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49">
        <f>'BTC-Chinh thuc'!I49</f>
        <v>212258</v>
      </c>
      <c r="J49" s="349">
        <f>'BTC-Chinh thuc'!J49</f>
        <v>212258</v>
      </c>
      <c r="K49" s="349">
        <f>'BTC-Chinh thuc'!K49</f>
        <v>0</v>
      </c>
      <c r="L49" s="349">
        <f>'BTC-Chinh thuc'!L49</f>
        <v>0.29680000001098961</v>
      </c>
      <c r="M49" s="94"/>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49">
        <f>'BTC-Chinh thuc'!I50</f>
        <v>4</v>
      </c>
      <c r="J50" s="349">
        <f>'BTC-Chinh thuc'!J50</f>
        <v>4</v>
      </c>
      <c r="K50" s="349">
        <f>'BTC-Chinh thuc'!K50</f>
        <v>0</v>
      </c>
      <c r="L50" s="349">
        <f>'BTC-Chinh thuc'!L50</f>
        <v>-7.9600000000000115E-2</v>
      </c>
      <c r="M50" s="94"/>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49">
        <f>'BTC-Chinh thuc'!I51</f>
        <v>31371</v>
      </c>
      <c r="J51" s="349">
        <f>'BTC-Chinh thuc'!J51</f>
        <v>31371</v>
      </c>
      <c r="K51" s="349">
        <f>'BTC-Chinh thuc'!K51</f>
        <v>0</v>
      </c>
      <c r="L51" s="349">
        <f>'BTC-Chinh thuc'!L51</f>
        <v>-0.35124000000359956</v>
      </c>
      <c r="M51" s="94"/>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49">
        <f>'BTC-Chinh thuc'!I52</f>
        <v>6872</v>
      </c>
      <c r="J52" s="349">
        <f>'BTC-Chinh thuc'!J52</f>
        <v>6872</v>
      </c>
      <c r="K52" s="349">
        <f>'BTC-Chinh thuc'!K52</f>
        <v>0</v>
      </c>
      <c r="L52" s="349">
        <f>'BTC-Chinh thuc'!L52</f>
        <v>0</v>
      </c>
      <c r="M52" s="94"/>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9">
        <f>'BTC-Chinh thuc'!I53</f>
        <v>1947306</v>
      </c>
      <c r="J53" s="349">
        <f>'BTC-Chinh thuc'!J53</f>
        <v>425116</v>
      </c>
      <c r="K53" s="349">
        <f>'BTC-Chinh thuc'!K53</f>
        <v>1500320</v>
      </c>
      <c r="L53" s="349">
        <f>'BTC-Chinh thuc'!L53</f>
        <v>21870</v>
      </c>
      <c r="M53" s="94"/>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49">
        <f>'BTC-Chinh thuc'!I54</f>
        <v>1925436</v>
      </c>
      <c r="J54" s="349">
        <f>'BTC-Chinh thuc'!J54</f>
        <v>425116</v>
      </c>
      <c r="K54" s="349">
        <f>'BTC-Chinh thuc'!K54</f>
        <v>1500320</v>
      </c>
      <c r="L54" s="349">
        <f>'BTC-Chinh thuc'!L54</f>
        <v>0</v>
      </c>
      <c r="M54" s="94"/>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49">
        <f>'BTC-Chinh thuc'!I55</f>
        <v>0</v>
      </c>
      <c r="J55" s="349">
        <f>'BTC-Chinh thuc'!J55</f>
        <v>0</v>
      </c>
      <c r="K55" s="349">
        <f>'BTC-Chinh thuc'!K55</f>
        <v>0</v>
      </c>
      <c r="L55" s="349">
        <f>'BTC-Chinh thuc'!L55</f>
        <v>0</v>
      </c>
      <c r="M55" s="94"/>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49">
        <f>'BTC-Chinh thuc'!I56</f>
        <v>0</v>
      </c>
      <c r="J56" s="349">
        <f>'BTC-Chinh thuc'!J56</f>
        <v>0</v>
      </c>
      <c r="K56" s="349">
        <f>'BTC-Chinh thuc'!K56</f>
        <v>0</v>
      </c>
      <c r="L56" s="349">
        <f>'BTC-Chinh thuc'!L56</f>
        <v>0</v>
      </c>
      <c r="M56" s="94"/>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49">
        <f>'BTC-Chinh thuc'!I57</f>
        <v>0</v>
      </c>
      <c r="J57" s="349">
        <f>'BTC-Chinh thuc'!J57</f>
        <v>0</v>
      </c>
      <c r="K57" s="349">
        <f>'BTC-Chinh thuc'!K57</f>
        <v>0</v>
      </c>
      <c r="L57" s="349">
        <f>'BTC-Chinh thuc'!L57</f>
        <v>0</v>
      </c>
      <c r="M57" s="94"/>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49">
        <f>'BTC-Chinh thuc'!I58</f>
        <v>0</v>
      </c>
      <c r="J58" s="349">
        <f>'BTC-Chinh thuc'!J58</f>
        <v>0</v>
      </c>
      <c r="K58" s="349">
        <f>'BTC-Chinh thuc'!K58</f>
        <v>0</v>
      </c>
      <c r="L58" s="349">
        <f>'BTC-Chinh thuc'!L58</f>
        <v>0</v>
      </c>
      <c r="M58" s="123"/>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49">
        <f>'BTC-Chinh thuc'!I59</f>
        <v>0</v>
      </c>
      <c r="J59" s="349">
        <f>'BTC-Chinh thuc'!J59</f>
        <v>0</v>
      </c>
      <c r="K59" s="349">
        <f>'BTC-Chinh thuc'!K59</f>
        <v>0</v>
      </c>
      <c r="L59" s="349">
        <f>'BTC-Chinh thuc'!L59</f>
        <v>0</v>
      </c>
      <c r="M59" s="123"/>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49">
        <f>'BTC-Chinh thuc'!I60</f>
        <v>0</v>
      </c>
      <c r="J60" s="349">
        <f>'BTC-Chinh thuc'!J60</f>
        <v>0</v>
      </c>
      <c r="K60" s="349">
        <f>'BTC-Chinh thuc'!K60</f>
        <v>0</v>
      </c>
      <c r="L60" s="349">
        <f>'BTC-Chinh thuc'!L60</f>
        <v>0</v>
      </c>
      <c r="M60" s="99"/>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49">
        <f>'BTC-Chinh thuc'!I61</f>
        <v>0</v>
      </c>
      <c r="J61" s="349">
        <f>'BTC-Chinh thuc'!J61</f>
        <v>0</v>
      </c>
      <c r="K61" s="349">
        <f>'BTC-Chinh thuc'!K61</f>
        <v>0</v>
      </c>
      <c r="L61" s="349">
        <f>'BTC-Chinh thuc'!L61</f>
        <v>0</v>
      </c>
      <c r="M61" s="123"/>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49">
        <f>'BTC-Chinh thuc'!I62</f>
        <v>0</v>
      </c>
      <c r="J62" s="349">
        <f>'BTC-Chinh thuc'!J62</f>
        <v>0</v>
      </c>
      <c r="K62" s="349">
        <f>'BTC-Chinh thuc'!K62</f>
        <v>0</v>
      </c>
      <c r="L62" s="349">
        <f>'BTC-Chinh thuc'!L62</f>
        <v>0</v>
      </c>
      <c r="M62" s="123"/>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49">
        <f>'BTC-Chinh thuc'!I63</f>
        <v>0</v>
      </c>
      <c r="J63" s="349">
        <f>'BTC-Chinh thuc'!J63</f>
        <v>0</v>
      </c>
      <c r="K63" s="349">
        <f>'BTC-Chinh thuc'!K63</f>
        <v>0</v>
      </c>
      <c r="L63" s="349">
        <f>'BTC-Chinh thuc'!L63</f>
        <v>0</v>
      </c>
      <c r="M63" s="123"/>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49">
        <f>'BTC-Chinh thuc'!I64</f>
        <v>0</v>
      </c>
      <c r="J64" s="349">
        <f>'BTC-Chinh thuc'!J64</f>
        <v>0</v>
      </c>
      <c r="K64" s="349">
        <f>'BTC-Chinh thuc'!K64</f>
        <v>0</v>
      </c>
      <c r="L64" s="349">
        <f>'BTC-Chinh thuc'!L64</f>
        <v>0</v>
      </c>
      <c r="M64" s="99"/>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49">
        <f>'BTC-Chinh thuc'!I65</f>
        <v>0</v>
      </c>
      <c r="J65" s="349">
        <f>'BTC-Chinh thuc'!J65</f>
        <v>0</v>
      </c>
      <c r="K65" s="349">
        <f>'BTC-Chinh thuc'!K65</f>
        <v>0</v>
      </c>
      <c r="L65" s="349">
        <f>'BTC-Chinh thuc'!L65</f>
        <v>0</v>
      </c>
      <c r="M65" s="123"/>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49">
        <f>'BTC-Chinh thuc'!I66</f>
        <v>0</v>
      </c>
      <c r="J66" s="349">
        <f>'BTC-Chinh thuc'!J66</f>
        <v>0</v>
      </c>
      <c r="K66" s="349">
        <f>'BTC-Chinh thuc'!K66</f>
        <v>0</v>
      </c>
      <c r="L66" s="349">
        <f>'BTC-Chinh thuc'!L66</f>
        <v>0</v>
      </c>
      <c r="M66" s="123"/>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49">
        <f>'BTC-Chinh thuc'!I67</f>
        <v>0</v>
      </c>
      <c r="J67" s="349">
        <f>'BTC-Chinh thuc'!J67</f>
        <v>0</v>
      </c>
      <c r="K67" s="349">
        <f>'BTC-Chinh thuc'!K67</f>
        <v>0</v>
      </c>
      <c r="L67" s="349">
        <f>'BTC-Chinh thuc'!L67</f>
        <v>0</v>
      </c>
      <c r="M67" s="123"/>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49">
        <f>'BTC-Chinh thuc'!I68</f>
        <v>0</v>
      </c>
      <c r="J68" s="349">
        <f>'BTC-Chinh thuc'!J68</f>
        <v>0</v>
      </c>
      <c r="K68" s="349">
        <f>'BTC-Chinh thuc'!K68</f>
        <v>0</v>
      </c>
      <c r="L68" s="349">
        <f>'BTC-Chinh thuc'!L68</f>
        <v>0</v>
      </c>
      <c r="M68" s="123"/>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49">
        <f>'BTC-Chinh thuc'!I69</f>
        <v>0</v>
      </c>
      <c r="J69" s="349">
        <f>'BTC-Chinh thuc'!J69</f>
        <v>0</v>
      </c>
      <c r="K69" s="349">
        <f>'BTC-Chinh thuc'!K69</f>
        <v>0</v>
      </c>
      <c r="L69" s="349">
        <f>'BTC-Chinh thuc'!L69</f>
        <v>0</v>
      </c>
      <c r="M69" s="123"/>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49">
        <f>'BTC-Chinh thuc'!I70</f>
        <v>0</v>
      </c>
      <c r="J70" s="349">
        <f>'BTC-Chinh thuc'!J70</f>
        <v>0</v>
      </c>
      <c r="K70" s="349">
        <f>'BTC-Chinh thuc'!K70</f>
        <v>0</v>
      </c>
      <c r="L70" s="349">
        <f>'BTC-Chinh thuc'!L70</f>
        <v>0</v>
      </c>
      <c r="M70" s="123"/>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49">
        <f>'BTC-Chinh thuc'!I71</f>
        <v>0</v>
      </c>
      <c r="J71" s="349">
        <f>'BTC-Chinh thuc'!J71</f>
        <v>0</v>
      </c>
      <c r="K71" s="349">
        <f>'BTC-Chinh thuc'!K71</f>
        <v>0</v>
      </c>
      <c r="L71" s="349">
        <f>'BTC-Chinh thuc'!L71</f>
        <v>0</v>
      </c>
      <c r="M71" s="123"/>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49">
        <f>'BTC-Chinh thuc'!I72</f>
        <v>0</v>
      </c>
      <c r="J72" s="349">
        <f>'BTC-Chinh thuc'!J72</f>
        <v>0</v>
      </c>
      <c r="K72" s="349">
        <f>'BTC-Chinh thuc'!K72</f>
        <v>0</v>
      </c>
      <c r="L72" s="349">
        <f>'BTC-Chinh thuc'!L72</f>
        <v>0</v>
      </c>
      <c r="M72" s="123"/>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49">
        <f>'BTC-Chinh thuc'!I73</f>
        <v>0</v>
      </c>
      <c r="J73" s="349">
        <f>'BTC-Chinh thuc'!J73</f>
        <v>0</v>
      </c>
      <c r="K73" s="349">
        <f>'BTC-Chinh thuc'!K73</f>
        <v>0</v>
      </c>
      <c r="L73" s="349">
        <f>'BTC-Chinh thuc'!L73</f>
        <v>0</v>
      </c>
      <c r="M73" s="94"/>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49">
        <f>'BTC-Chinh thuc'!I74</f>
        <v>0</v>
      </c>
      <c r="J74" s="349">
        <f>'BTC-Chinh thuc'!J74</f>
        <v>0</v>
      </c>
      <c r="K74" s="349">
        <f>'BTC-Chinh thuc'!K74</f>
        <v>0</v>
      </c>
      <c r="L74" s="349">
        <f>'BTC-Chinh thuc'!L74</f>
        <v>0</v>
      </c>
      <c r="M74" s="94"/>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49">
        <f>'BTC-Chinh thuc'!I75</f>
        <v>0</v>
      </c>
      <c r="J75" s="349">
        <f>'BTC-Chinh thuc'!J75</f>
        <v>0</v>
      </c>
      <c r="K75" s="349">
        <f>'BTC-Chinh thuc'!K75</f>
        <v>0</v>
      </c>
      <c r="L75" s="349">
        <f>'BTC-Chinh thuc'!L75</f>
        <v>0</v>
      </c>
      <c r="M75" s="94"/>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49">
        <f>'BTC-Chinh thuc'!I76</f>
        <v>0</v>
      </c>
      <c r="J76" s="349">
        <f>'BTC-Chinh thuc'!J76</f>
        <v>0</v>
      </c>
      <c r="K76" s="349">
        <f>'BTC-Chinh thuc'!K76</f>
        <v>0</v>
      </c>
      <c r="L76" s="349">
        <f>'BTC-Chinh thuc'!L76</f>
        <v>0</v>
      </c>
      <c r="M76" s="123"/>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49">
        <f>'BTC-Chinh thuc'!I77</f>
        <v>0</v>
      </c>
      <c r="J77" s="349">
        <f>'BTC-Chinh thuc'!J77</f>
        <v>0</v>
      </c>
      <c r="K77" s="349">
        <f>'BTC-Chinh thuc'!K77</f>
        <v>0</v>
      </c>
      <c r="L77" s="349">
        <f>'BTC-Chinh thuc'!L77</f>
        <v>0</v>
      </c>
      <c r="M77" s="94"/>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49">
        <f>'BTC-Chinh thuc'!I78</f>
        <v>0</v>
      </c>
      <c r="J78" s="349">
        <f>'BTC-Chinh thuc'!J78</f>
        <v>0</v>
      </c>
      <c r="K78" s="349">
        <f>'BTC-Chinh thuc'!K78</f>
        <v>0</v>
      </c>
      <c r="L78" s="349">
        <f>'BTC-Chinh thuc'!L78</f>
        <v>0</v>
      </c>
      <c r="M78" s="94"/>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49">
        <f>'BTC-Chinh thuc'!I79</f>
        <v>0</v>
      </c>
      <c r="J79" s="349">
        <f>'BTC-Chinh thuc'!J79</f>
        <v>0</v>
      </c>
      <c r="K79" s="349">
        <f>'BTC-Chinh thuc'!K79</f>
        <v>0</v>
      </c>
      <c r="L79" s="349">
        <f>'BTC-Chinh thuc'!L79</f>
        <v>0</v>
      </c>
      <c r="M79" s="94"/>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49">
        <f>'BTC-Chinh thuc'!I80</f>
        <v>0</v>
      </c>
      <c r="J80" s="349">
        <f>'BTC-Chinh thuc'!J80</f>
        <v>0</v>
      </c>
      <c r="K80" s="349">
        <f>'BTC-Chinh thuc'!K80</f>
        <v>0</v>
      </c>
      <c r="L80" s="349">
        <f>'BTC-Chinh thuc'!L80</f>
        <v>0</v>
      </c>
      <c r="M80" s="94"/>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49">
        <f>'BTC-Chinh thuc'!I81</f>
        <v>0</v>
      </c>
      <c r="J81" s="349">
        <f>'BTC-Chinh thuc'!J81</f>
        <v>0</v>
      </c>
      <c r="K81" s="349">
        <f>'BTC-Chinh thuc'!K81</f>
        <v>0</v>
      </c>
      <c r="L81" s="349">
        <f>'BTC-Chinh thuc'!L81</f>
        <v>0</v>
      </c>
      <c r="M81" s="94"/>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49">
        <f>'BTC-Chinh thuc'!I82</f>
        <v>0</v>
      </c>
      <c r="J82" s="349">
        <f>'BTC-Chinh thuc'!J82</f>
        <v>0</v>
      </c>
      <c r="K82" s="349">
        <f>'BTC-Chinh thuc'!K82</f>
        <v>0</v>
      </c>
      <c r="L82" s="349">
        <f>'BTC-Chinh thuc'!L82</f>
        <v>0</v>
      </c>
      <c r="M82" s="94"/>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49">
        <f>'BTC-Chinh thuc'!I83</f>
        <v>0</v>
      </c>
      <c r="J83" s="349">
        <f>'BTC-Chinh thuc'!J83</f>
        <v>0</v>
      </c>
      <c r="K83" s="349">
        <f>'BTC-Chinh thuc'!K83</f>
        <v>0</v>
      </c>
      <c r="L83" s="349">
        <f>'BTC-Chinh thuc'!L83</f>
        <v>0</v>
      </c>
      <c r="M83" s="123"/>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49">
        <f>'BTC-Chinh thuc'!I84</f>
        <v>0</v>
      </c>
      <c r="J84" s="349">
        <f>'BTC-Chinh thuc'!J84</f>
        <v>0</v>
      </c>
      <c r="K84" s="349">
        <f>'BTC-Chinh thuc'!K84</f>
        <v>0</v>
      </c>
      <c r="L84" s="349">
        <f>'BTC-Chinh thuc'!L84</f>
        <v>0</v>
      </c>
      <c r="M84" s="94"/>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49">
        <f>'BTC-Chinh thuc'!I85</f>
        <v>0</v>
      </c>
      <c r="J85" s="349">
        <f>'BTC-Chinh thuc'!J85</f>
        <v>0</v>
      </c>
      <c r="K85" s="349">
        <f>'BTC-Chinh thuc'!K85</f>
        <v>0</v>
      </c>
      <c r="L85" s="349">
        <f>'BTC-Chinh thuc'!L85</f>
        <v>0</v>
      </c>
      <c r="M85" s="94"/>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49">
        <f>'BTC-Chinh thuc'!I86</f>
        <v>0</v>
      </c>
      <c r="J86" s="349">
        <f>'BTC-Chinh thuc'!J86</f>
        <v>0</v>
      </c>
      <c r="K86" s="349">
        <f>'BTC-Chinh thuc'!K86</f>
        <v>0</v>
      </c>
      <c r="L86" s="349">
        <f>'BTC-Chinh thuc'!L86</f>
        <v>0</v>
      </c>
      <c r="M86" s="94"/>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49">
        <f>'BTC-Chinh thuc'!I87</f>
        <v>0</v>
      </c>
      <c r="J87" s="349">
        <f>'BTC-Chinh thuc'!J87</f>
        <v>0</v>
      </c>
      <c r="K87" s="349">
        <f>'BTC-Chinh thuc'!K87</f>
        <v>0</v>
      </c>
      <c r="L87" s="349">
        <f>'BTC-Chinh thuc'!L87</f>
        <v>0</v>
      </c>
      <c r="M87" s="94"/>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49">
        <f>'BTC-Chinh thuc'!I88</f>
        <v>0</v>
      </c>
      <c r="J88" s="349">
        <f>'BTC-Chinh thuc'!J88</f>
        <v>0</v>
      </c>
      <c r="K88" s="349">
        <f>'BTC-Chinh thuc'!K88</f>
        <v>0</v>
      </c>
      <c r="L88" s="349">
        <f>'BTC-Chinh thuc'!L88</f>
        <v>0</v>
      </c>
      <c r="M88" s="123"/>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49">
        <f>'BTC-Chinh thuc'!I89</f>
        <v>0</v>
      </c>
      <c r="J89" s="349">
        <f>'BTC-Chinh thuc'!J89</f>
        <v>0</v>
      </c>
      <c r="K89" s="349">
        <f>'BTC-Chinh thuc'!K89</f>
        <v>0</v>
      </c>
      <c r="L89" s="349">
        <f>'BTC-Chinh thuc'!L89</f>
        <v>0</v>
      </c>
      <c r="M89" s="123"/>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9">
        <f>'BTC-Chinh thuc'!I90</f>
        <v>174176</v>
      </c>
      <c r="J90" s="349">
        <f>'BTC-Chinh thuc'!J90</f>
        <v>50591</v>
      </c>
      <c r="K90" s="349">
        <f>'BTC-Chinh thuc'!K90</f>
        <v>52285</v>
      </c>
      <c r="L90" s="349">
        <f>'BTC-Chinh thuc'!L90</f>
        <v>71300</v>
      </c>
      <c r="M90" s="95"/>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9">
        <f>'BTC-Chinh thuc'!I91</f>
        <v>0</v>
      </c>
      <c r="J91" s="349">
        <f>'BTC-Chinh thuc'!J91</f>
        <v>0</v>
      </c>
      <c r="K91" s="349">
        <f>'BTC-Chinh thuc'!K91</f>
        <v>0</v>
      </c>
      <c r="L91" s="349">
        <f>'BTC-Chinh thuc'!L91</f>
        <v>0</v>
      </c>
      <c r="M91" s="95"/>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9">
        <f>'BTC-Chinh thuc'!I92</f>
        <v>0</v>
      </c>
      <c r="J92" s="349">
        <f>'BTC-Chinh thuc'!J92</f>
        <v>0</v>
      </c>
      <c r="K92" s="349">
        <f>'BTC-Chinh thuc'!K92</f>
        <v>0</v>
      </c>
      <c r="L92" s="349">
        <f>'BTC-Chinh thuc'!L92</f>
        <v>0</v>
      </c>
      <c r="M92" s="69"/>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9">
        <f>'BTC-Chinh thuc'!I93</f>
        <v>0</v>
      </c>
      <c r="J93" s="349">
        <f>'BTC-Chinh thuc'!J93</f>
        <v>0</v>
      </c>
      <c r="K93" s="349">
        <f>'BTC-Chinh thuc'!K93</f>
        <v>0</v>
      </c>
      <c r="L93" s="349">
        <f>'BTC-Chinh thuc'!L93</f>
        <v>0</v>
      </c>
      <c r="M93" s="69"/>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9">
        <f>'BTC-Chinh thuc'!I94</f>
        <v>0</v>
      </c>
      <c r="J94" s="349">
        <f>'BTC-Chinh thuc'!J94</f>
        <v>0</v>
      </c>
      <c r="K94" s="349">
        <f>'BTC-Chinh thuc'!K94</f>
        <v>0</v>
      </c>
      <c r="L94" s="349">
        <f>'BTC-Chinh thuc'!L94</f>
        <v>0</v>
      </c>
      <c r="M94" s="69"/>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9">
        <f>'BTC-Chinh thuc'!I95</f>
        <v>0</v>
      </c>
      <c r="J95" s="349">
        <f>'BTC-Chinh thuc'!J95</f>
        <v>0</v>
      </c>
      <c r="K95" s="349">
        <f>'BTC-Chinh thuc'!K95</f>
        <v>0</v>
      </c>
      <c r="L95" s="349">
        <f>'BTC-Chinh thuc'!L95</f>
        <v>0</v>
      </c>
      <c r="M95" s="69"/>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9">
        <f>'BTC-Chinh thuc'!I96</f>
        <v>0</v>
      </c>
      <c r="J96" s="349">
        <f>'BTC-Chinh thuc'!J96</f>
        <v>0</v>
      </c>
      <c r="K96" s="349">
        <f>'BTC-Chinh thuc'!K96</f>
        <v>0</v>
      </c>
      <c r="L96" s="349">
        <f>'BTC-Chinh thuc'!L96</f>
        <v>0</v>
      </c>
      <c r="M96" s="69"/>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9">
        <f>'BTC-Chinh thuc'!I97</f>
        <v>0</v>
      </c>
      <c r="J97" s="349">
        <f>'BTC-Chinh thuc'!J97</f>
        <v>0</v>
      </c>
      <c r="K97" s="349">
        <f>'BTC-Chinh thuc'!K97</f>
        <v>0</v>
      </c>
      <c r="L97" s="349">
        <f>'BTC-Chinh thuc'!L97</f>
        <v>0</v>
      </c>
      <c r="M97" s="69"/>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9">
        <f>'BTC-Chinh thuc'!I98</f>
        <v>0</v>
      </c>
      <c r="J98" s="349">
        <f>'BTC-Chinh thuc'!J98</f>
        <v>0</v>
      </c>
      <c r="K98" s="349">
        <f>'BTC-Chinh thuc'!K98</f>
        <v>0</v>
      </c>
      <c r="L98" s="349">
        <f>'BTC-Chinh thuc'!L98</f>
        <v>0</v>
      </c>
      <c r="M98" s="69"/>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9">
        <f>'BTC-Chinh thuc'!I99</f>
        <v>0</v>
      </c>
      <c r="J99" s="349">
        <f>'BTC-Chinh thuc'!J99</f>
        <v>0</v>
      </c>
      <c r="K99" s="349">
        <f>'BTC-Chinh thuc'!K99</f>
        <v>0</v>
      </c>
      <c r="L99" s="349">
        <f>'BTC-Chinh thuc'!L99</f>
        <v>0</v>
      </c>
      <c r="M99" s="105"/>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9">
        <f>'BTC-Chinh thuc'!I100</f>
        <v>45628</v>
      </c>
      <c r="J100" s="349">
        <f>'BTC-Chinh thuc'!J100</f>
        <v>16714</v>
      </c>
      <c r="K100" s="349">
        <f>'BTC-Chinh thuc'!K100</f>
        <v>28914</v>
      </c>
      <c r="L100" s="349">
        <f>'BTC-Chinh thuc'!L100</f>
        <v>0</v>
      </c>
      <c r="M100" s="95"/>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9">
        <f>'BTC-Chinh thuc'!I101</f>
        <v>0</v>
      </c>
      <c r="J101" s="349">
        <f>'BTC-Chinh thuc'!J101</f>
        <v>0</v>
      </c>
      <c r="K101" s="349">
        <f>'BTC-Chinh thuc'!K101</f>
        <v>0</v>
      </c>
      <c r="L101" s="349">
        <f>'BTC-Chinh thuc'!L101</f>
        <v>0</v>
      </c>
      <c r="M101" s="95"/>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9">
        <f>'BTC-Chinh thuc'!I102</f>
        <v>0</v>
      </c>
      <c r="J102" s="349">
        <f>'BTC-Chinh thuc'!J102</f>
        <v>0</v>
      </c>
      <c r="K102" s="349">
        <f>'BTC-Chinh thuc'!K102</f>
        <v>0</v>
      </c>
      <c r="L102" s="349">
        <f>'BTC-Chinh thuc'!L102</f>
        <v>0</v>
      </c>
      <c r="M102" s="69"/>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9">
        <f>'BTC-Chinh thuc'!I103</f>
        <v>0</v>
      </c>
      <c r="J103" s="349">
        <f>'BTC-Chinh thuc'!J103</f>
        <v>0</v>
      </c>
      <c r="K103" s="349">
        <f>'BTC-Chinh thuc'!K103</f>
        <v>0</v>
      </c>
      <c r="L103" s="349">
        <f>'BTC-Chinh thuc'!L103</f>
        <v>0</v>
      </c>
      <c r="M103" s="69"/>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9">
        <f>'BTC-Chinh thuc'!I104</f>
        <v>0</v>
      </c>
      <c r="J104" s="349">
        <f>'BTC-Chinh thuc'!J104</f>
        <v>0</v>
      </c>
      <c r="K104" s="349">
        <f>'BTC-Chinh thuc'!K104</f>
        <v>0</v>
      </c>
      <c r="L104" s="349">
        <f>'BTC-Chinh thuc'!L104</f>
        <v>0</v>
      </c>
      <c r="M104" s="69"/>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9">
        <f>'BTC-Chinh thuc'!I105</f>
        <v>0</v>
      </c>
      <c r="J105" s="349">
        <f>'BTC-Chinh thuc'!J105</f>
        <v>0</v>
      </c>
      <c r="K105" s="349">
        <f>'BTC-Chinh thuc'!K105</f>
        <v>0</v>
      </c>
      <c r="L105" s="349">
        <f>'BTC-Chinh thuc'!L105</f>
        <v>0</v>
      </c>
      <c r="M105" s="69"/>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9">
        <f>'BTC-Chinh thuc'!I106</f>
        <v>0</v>
      </c>
      <c r="J106" s="349">
        <f>'BTC-Chinh thuc'!J106</f>
        <v>0</v>
      </c>
      <c r="K106" s="349">
        <f>'BTC-Chinh thuc'!K106</f>
        <v>0</v>
      </c>
      <c r="L106" s="349">
        <f>'BTC-Chinh thuc'!L106</f>
        <v>0</v>
      </c>
      <c r="M106" s="69"/>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9">
        <f>'BTC-Chinh thuc'!I107</f>
        <v>52883</v>
      </c>
      <c r="J107" s="349">
        <f>'BTC-Chinh thuc'!J107</f>
        <v>25429</v>
      </c>
      <c r="K107" s="349">
        <f>'BTC-Chinh thuc'!K107</f>
        <v>27454</v>
      </c>
      <c r="L107" s="349">
        <f>'BTC-Chinh thuc'!L107</f>
        <v>0</v>
      </c>
      <c r="M107" s="95"/>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9">
        <f>'BTC-Chinh thuc'!I108</f>
        <v>0</v>
      </c>
      <c r="J108" s="349">
        <f>'BTC-Chinh thuc'!J108</f>
        <v>0</v>
      </c>
      <c r="K108" s="349">
        <f>'BTC-Chinh thuc'!K108</f>
        <v>0</v>
      </c>
      <c r="L108" s="349">
        <f>'BTC-Chinh thuc'!L108</f>
        <v>0</v>
      </c>
      <c r="M108" s="95"/>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9">
        <f>'BTC-Chinh thuc'!I109</f>
        <v>0</v>
      </c>
      <c r="J109" s="349">
        <f>'BTC-Chinh thuc'!J109</f>
        <v>0</v>
      </c>
      <c r="K109" s="349">
        <f>'BTC-Chinh thuc'!K109</f>
        <v>0</v>
      </c>
      <c r="L109" s="349">
        <f>'BTC-Chinh thuc'!L109</f>
        <v>0</v>
      </c>
      <c r="M109" s="69"/>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9">
        <f>'BTC-Chinh thuc'!I110</f>
        <v>0</v>
      </c>
      <c r="J110" s="349">
        <f>'BTC-Chinh thuc'!J110</f>
        <v>0</v>
      </c>
      <c r="K110" s="349">
        <f>'BTC-Chinh thuc'!K110</f>
        <v>0</v>
      </c>
      <c r="L110" s="349">
        <f>'BTC-Chinh thuc'!L110</f>
        <v>0</v>
      </c>
      <c r="M110" s="69"/>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9">
        <f>'BTC-Chinh thuc'!I111</f>
        <v>0</v>
      </c>
      <c r="J111" s="349">
        <f>'BTC-Chinh thuc'!J111</f>
        <v>0</v>
      </c>
      <c r="K111" s="349">
        <f>'BTC-Chinh thuc'!K111</f>
        <v>0</v>
      </c>
      <c r="L111" s="349">
        <f>'BTC-Chinh thuc'!L111</f>
        <v>0</v>
      </c>
      <c r="M111" s="69"/>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9">
        <f>'BTC-Chinh thuc'!I112</f>
        <v>0</v>
      </c>
      <c r="J112" s="349">
        <f>'BTC-Chinh thuc'!J112</f>
        <v>0</v>
      </c>
      <c r="K112" s="349">
        <f>'BTC-Chinh thuc'!K112</f>
        <v>0</v>
      </c>
      <c r="L112" s="349">
        <f>'BTC-Chinh thuc'!L112</f>
        <v>0</v>
      </c>
      <c r="M112" s="69"/>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9">
        <f>'BTC-Chinh thuc'!I113</f>
        <v>0</v>
      </c>
      <c r="J113" s="349">
        <f>'BTC-Chinh thuc'!J113</f>
        <v>0</v>
      </c>
      <c r="K113" s="349">
        <f>'BTC-Chinh thuc'!K113</f>
        <v>0</v>
      </c>
      <c r="L113" s="349">
        <f>'BTC-Chinh thuc'!L113</f>
        <v>0</v>
      </c>
      <c r="M113" s="69"/>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9">
        <f>'BTC-Chinh thuc'!I114</f>
        <v>849032.98080000002</v>
      </c>
      <c r="J114" s="349">
        <f>'BTC-Chinh thuc'!J114</f>
        <v>91604.980800000005</v>
      </c>
      <c r="K114" s="349">
        <f>'BTC-Chinh thuc'!K114</f>
        <v>587828</v>
      </c>
      <c r="L114" s="349">
        <f>'BTC-Chinh thuc'!L114</f>
        <v>169600</v>
      </c>
      <c r="M114" s="95"/>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49">
        <f>'BTC-Chinh thuc'!I115</f>
        <v>67670</v>
      </c>
      <c r="J115" s="349">
        <f>'BTC-Chinh thuc'!J115</f>
        <v>41589</v>
      </c>
      <c r="K115" s="349">
        <f>'BTC-Chinh thuc'!K115</f>
        <v>26081</v>
      </c>
      <c r="L115" s="349">
        <f>'BTC-Chinh thuc'!L115</f>
        <v>0</v>
      </c>
      <c r="M115" s="99"/>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'BTC-Chinh thuc'!I116</f>
        <v>0</v>
      </c>
      <c r="J116" s="349">
        <f>'BTC-Chinh thuc'!J116</f>
        <v>0</v>
      </c>
      <c r="K116" s="349">
        <f>'BTC-Chinh thuc'!K116</f>
        <v>0</v>
      </c>
      <c r="L116" s="349">
        <f>'BTC-Chinh thuc'!L116</f>
        <v>0</v>
      </c>
      <c r="M116" s="123"/>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'BTC-Chinh thuc'!I117</f>
        <v>0</v>
      </c>
      <c r="J117" s="349">
        <f>'BTC-Chinh thuc'!J117</f>
        <v>0</v>
      </c>
      <c r="K117" s="349">
        <f>'BTC-Chinh thuc'!K117</f>
        <v>0</v>
      </c>
      <c r="L117" s="349">
        <f>'BTC-Chinh thuc'!L117</f>
        <v>0</v>
      </c>
      <c r="M117" s="123"/>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'BTC-Chinh thuc'!I118</f>
        <v>0</v>
      </c>
      <c r="J118" s="349">
        <f>'BTC-Chinh thuc'!J118</f>
        <v>0</v>
      </c>
      <c r="K118" s="349">
        <f>'BTC-Chinh thuc'!K118</f>
        <v>0</v>
      </c>
      <c r="L118" s="349">
        <f>'BTC-Chinh thuc'!L118</f>
        <v>0</v>
      </c>
      <c r="M118" s="123"/>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'BTC-Chinh thuc'!I119</f>
        <v>0</v>
      </c>
      <c r="J119" s="349">
        <f>'BTC-Chinh thuc'!J119</f>
        <v>0</v>
      </c>
      <c r="K119" s="349">
        <f>'BTC-Chinh thuc'!K119</f>
        <v>0</v>
      </c>
      <c r="L119" s="349">
        <f>'BTC-Chinh thuc'!L119</f>
        <v>0</v>
      </c>
      <c r="M119" s="123"/>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49">
        <f>'BTC-Chinh thuc'!I120</f>
        <v>70670</v>
      </c>
      <c r="J120" s="349">
        <f>'BTC-Chinh thuc'!J120</f>
        <v>0</v>
      </c>
      <c r="K120" s="349">
        <f>'BTC-Chinh thuc'!K120</f>
        <v>70670</v>
      </c>
      <c r="L120" s="349">
        <f>'BTC-Chinh thuc'!L120</f>
        <v>0</v>
      </c>
      <c r="M120" s="99"/>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49">
        <f>'BTC-Chinh thuc'!I121</f>
        <v>90698.980800000005</v>
      </c>
      <c r="J121" s="349">
        <f>'BTC-Chinh thuc'!J121</f>
        <v>29461.980800000005</v>
      </c>
      <c r="K121" s="349">
        <f>'BTC-Chinh thuc'!K121</f>
        <v>61237</v>
      </c>
      <c r="L121" s="349">
        <f>'BTC-Chinh thuc'!L121</f>
        <v>0</v>
      </c>
      <c r="M121" s="99"/>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49">
        <f>'BTC-Chinh thuc'!I122</f>
        <v>0</v>
      </c>
      <c r="J122" s="349">
        <f>'BTC-Chinh thuc'!J122</f>
        <v>0</v>
      </c>
      <c r="K122" s="349">
        <f>'BTC-Chinh thuc'!K122</f>
        <v>0</v>
      </c>
      <c r="L122" s="349">
        <f>'BTC-Chinh thuc'!L122</f>
        <v>0</v>
      </c>
      <c r="M122" s="99"/>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49">
        <f>'BTC-Chinh thuc'!I123</f>
        <v>0</v>
      </c>
      <c r="J123" s="349">
        <f>'BTC-Chinh thuc'!J123</f>
        <v>0</v>
      </c>
      <c r="K123" s="349">
        <f>'BTC-Chinh thuc'!K123</f>
        <v>0</v>
      </c>
      <c r="L123" s="349">
        <f>'BTC-Chinh thuc'!L123</f>
        <v>0</v>
      </c>
      <c r="M123" s="99"/>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49">
        <f>'BTC-Chinh thuc'!I124</f>
        <v>0</v>
      </c>
      <c r="J124" s="349">
        <f>'BTC-Chinh thuc'!J124</f>
        <v>0</v>
      </c>
      <c r="K124" s="349">
        <f>'BTC-Chinh thuc'!K124</f>
        <v>0</v>
      </c>
      <c r="L124" s="349">
        <f>'BTC-Chinh thuc'!L124</f>
        <v>0</v>
      </c>
      <c r="M124" s="99"/>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49">
        <f>'BTC-Chinh thuc'!I125</f>
        <v>422278</v>
      </c>
      <c r="J125" s="349">
        <f>'BTC-Chinh thuc'!J125</f>
        <v>17982</v>
      </c>
      <c r="K125" s="349">
        <f>'BTC-Chinh thuc'!K125</f>
        <v>404296</v>
      </c>
      <c r="L125" s="349">
        <f>'BTC-Chinh thuc'!L125</f>
        <v>0</v>
      </c>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49">
        <f>'BTC-Chinh thuc'!I126</f>
        <v>17887</v>
      </c>
      <c r="J126" s="349">
        <f>'BTC-Chinh thuc'!J126</f>
        <v>2572</v>
      </c>
      <c r="K126" s="349">
        <f>'BTC-Chinh thuc'!K126</f>
        <v>15315</v>
      </c>
      <c r="L126" s="349">
        <f>'BTC-Chinh thuc'!L126</f>
        <v>0</v>
      </c>
      <c r="M126" s="99"/>
      <c r="N126" s="99"/>
      <c r="O126" s="99"/>
      <c r="P126" s="99"/>
      <c r="Q126" s="99"/>
      <c r="R126" s="99"/>
      <c r="S126" s="99"/>
      <c r="T126" s="99"/>
      <c r="U126" s="99"/>
      <c r="V126" s="99"/>
      <c r="W126" s="99"/>
      <c r="X126" s="99"/>
      <c r="Y126" s="99"/>
      <c r="Z126" s="99"/>
      <c r="AA126" s="99"/>
      <c r="AB126" s="99"/>
      <c r="AC126" s="99"/>
      <c r="AD126" s="99"/>
    </row>
    <row r="127" spans="1:30" s="100" customFormat="1" ht="17.25" customHeight="1">
      <c r="A127" s="352" t="s">
        <v>361</v>
      </c>
      <c r="B127" s="393" t="s">
        <v>370</v>
      </c>
      <c r="C127" s="346"/>
      <c r="D127" s="349"/>
      <c r="E127" s="356"/>
      <c r="F127" s="356"/>
      <c r="G127" s="394"/>
      <c r="H127" s="356"/>
      <c r="I127" s="349">
        <f>'BTC-Chinh thuc'!I127</f>
        <v>10229</v>
      </c>
      <c r="J127" s="349">
        <f>'BTC-Chinh thuc'!J127</f>
        <v>0</v>
      </c>
      <c r="K127" s="349">
        <f>'BTC-Chinh thuc'!K127</f>
        <v>10229</v>
      </c>
      <c r="L127" s="349">
        <f>'BTC-Chinh thuc'!L127</f>
        <v>0</v>
      </c>
      <c r="M127" s="99"/>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9">
        <f>'BTC-Chinh thuc'!I128</f>
        <v>147607</v>
      </c>
      <c r="J128" s="349">
        <f>'BTC-Chinh thuc'!J128</f>
        <v>47149</v>
      </c>
      <c r="K128" s="349">
        <f>'BTC-Chinh thuc'!K128</f>
        <v>24412</v>
      </c>
      <c r="L128" s="349">
        <f>'BTC-Chinh thuc'!L128</f>
        <v>76046</v>
      </c>
      <c r="M128" s="95"/>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49">
        <f>'BTC-Chinh thuc'!I129</f>
        <v>71561</v>
      </c>
      <c r="J129" s="349">
        <f>'BTC-Chinh thuc'!J129</f>
        <v>47149</v>
      </c>
      <c r="K129" s="349">
        <f>'BTC-Chinh thuc'!K129</f>
        <v>24412</v>
      </c>
      <c r="L129" s="349">
        <f>'BTC-Chinh thuc'!L129</f>
        <v>0</v>
      </c>
      <c r="M129" s="99"/>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49">
        <f>'BTC-Chinh thuc'!I130</f>
        <v>0</v>
      </c>
      <c r="J130" s="349">
        <f>'BTC-Chinh thuc'!J130</f>
        <v>0</v>
      </c>
      <c r="K130" s="349">
        <f>'BTC-Chinh thuc'!K130</f>
        <v>0</v>
      </c>
      <c r="L130" s="349">
        <f>'BTC-Chinh thuc'!L130</f>
        <v>0</v>
      </c>
      <c r="M130" s="123"/>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49">
        <f>'BTC-Chinh thuc'!I131</f>
        <v>0</v>
      </c>
      <c r="J131" s="349">
        <f>'BTC-Chinh thuc'!J131</f>
        <v>0</v>
      </c>
      <c r="K131" s="349">
        <f>'BTC-Chinh thuc'!K131</f>
        <v>0</v>
      </c>
      <c r="L131" s="349">
        <f>'BTC-Chinh thuc'!L131</f>
        <v>0</v>
      </c>
      <c r="M131" s="123"/>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49">
        <f>'BTC-Chinh thuc'!I132</f>
        <v>0</v>
      </c>
      <c r="J132" s="349">
        <f>'BTC-Chinh thuc'!J132</f>
        <v>0</v>
      </c>
      <c r="K132" s="349">
        <f>'BTC-Chinh thuc'!K132</f>
        <v>0</v>
      </c>
      <c r="L132" s="349">
        <f>'BTC-Chinh thuc'!L132</f>
        <v>0</v>
      </c>
      <c r="M132" s="123"/>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49">
        <f>'BTC-Chinh thuc'!I133</f>
        <v>0</v>
      </c>
      <c r="J133" s="349">
        <f>'BTC-Chinh thuc'!J133</f>
        <v>0</v>
      </c>
      <c r="K133" s="349">
        <f>'BTC-Chinh thuc'!K133</f>
        <v>0</v>
      </c>
      <c r="L133" s="349">
        <f>'BTC-Chinh thuc'!L133</f>
        <v>0</v>
      </c>
      <c r="M133" s="123"/>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49">
        <f>'BTC-Chinh thuc'!I134</f>
        <v>0</v>
      </c>
      <c r="J134" s="349">
        <f>'BTC-Chinh thuc'!J134</f>
        <v>0</v>
      </c>
      <c r="K134" s="349">
        <f>'BTC-Chinh thuc'!K134</f>
        <v>0</v>
      </c>
      <c r="L134" s="349">
        <f>'BTC-Chinh thuc'!L134</f>
        <v>0</v>
      </c>
      <c r="M134" s="123"/>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49">
        <f>'BTC-Chinh thuc'!I135</f>
        <v>0</v>
      </c>
      <c r="J135" s="349">
        <f>'BTC-Chinh thuc'!J135</f>
        <v>0</v>
      </c>
      <c r="K135" s="349">
        <f>'BTC-Chinh thuc'!K135</f>
        <v>0</v>
      </c>
      <c r="L135" s="349">
        <f>'BTC-Chinh thuc'!L135</f>
        <v>0</v>
      </c>
      <c r="M135" s="123"/>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49">
        <f>'BTC-Chinh thuc'!I136</f>
        <v>0</v>
      </c>
      <c r="J136" s="349">
        <f>'BTC-Chinh thuc'!J136</f>
        <v>0</v>
      </c>
      <c r="K136" s="349">
        <f>'BTC-Chinh thuc'!K136</f>
        <v>0</v>
      </c>
      <c r="L136" s="349">
        <f>'BTC-Chinh thuc'!L136</f>
        <v>0</v>
      </c>
      <c r="M136" s="123"/>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49">
        <f>'BTC-Chinh thuc'!I137</f>
        <v>0</v>
      </c>
      <c r="J137" s="349">
        <f>'BTC-Chinh thuc'!J137</f>
        <v>0</v>
      </c>
      <c r="K137" s="349">
        <f>'BTC-Chinh thuc'!K137</f>
        <v>0</v>
      </c>
      <c r="L137" s="349">
        <f>'BTC-Chinh thuc'!L137</f>
        <v>0</v>
      </c>
      <c r="M137" s="123"/>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9">
        <f>'BTC-Chinh thuc'!I138</f>
        <v>63250</v>
      </c>
      <c r="J138" s="349">
        <f>'BTC-Chinh thuc'!J138</f>
        <v>13200</v>
      </c>
      <c r="K138" s="349">
        <f>'BTC-Chinh thuc'!K138</f>
        <v>26812</v>
      </c>
      <c r="L138" s="349">
        <f>'BTC-Chinh thuc'!L138</f>
        <v>23238</v>
      </c>
      <c r="M138" s="95"/>
      <c r="N138" s="95"/>
      <c r="O138" s="95"/>
      <c r="P138" s="95"/>
      <c r="Q138" s="95"/>
      <c r="R138" s="95"/>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49">
        <f>'BTC-Chinh thuc'!I139</f>
        <v>40012</v>
      </c>
      <c r="J139" s="349">
        <f>'BTC-Chinh thuc'!J139</f>
        <v>13200</v>
      </c>
      <c r="K139" s="349">
        <f>'BTC-Chinh thuc'!K139</f>
        <v>26812</v>
      </c>
      <c r="L139" s="349">
        <f>'BTC-Chinh thuc'!L139</f>
        <v>0</v>
      </c>
      <c r="M139" s="99"/>
      <c r="N139" s="99"/>
      <c r="O139" s="99"/>
      <c r="P139" s="99"/>
      <c r="Q139" s="99"/>
      <c r="R139" s="99"/>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49">
        <f>'BTC-Chinh thuc'!I140</f>
        <v>0</v>
      </c>
      <c r="J140" s="349">
        <f>'BTC-Chinh thuc'!J140</f>
        <v>0</v>
      </c>
      <c r="K140" s="349">
        <f>'BTC-Chinh thuc'!K140</f>
        <v>0</v>
      </c>
      <c r="L140" s="349">
        <f>'BTC-Chinh thuc'!L140</f>
        <v>0</v>
      </c>
      <c r="M140" s="123"/>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49">
        <f>'BTC-Chinh thuc'!I141</f>
        <v>0</v>
      </c>
      <c r="J141" s="349">
        <f>'BTC-Chinh thuc'!J141</f>
        <v>0</v>
      </c>
      <c r="K141" s="349">
        <f>'BTC-Chinh thuc'!K141</f>
        <v>0</v>
      </c>
      <c r="L141" s="349">
        <f>'BTC-Chinh thuc'!L141</f>
        <v>0</v>
      </c>
      <c r="M141" s="123"/>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49">
        <f>'BTC-Chinh thuc'!I142</f>
        <v>0</v>
      </c>
      <c r="J142" s="349">
        <f>'BTC-Chinh thuc'!J142</f>
        <v>0</v>
      </c>
      <c r="K142" s="349">
        <f>'BTC-Chinh thuc'!K142</f>
        <v>0</v>
      </c>
      <c r="L142" s="349">
        <f>'BTC-Chinh thuc'!L142</f>
        <v>0</v>
      </c>
      <c r="M142" s="123"/>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49">
        <f>'BTC-Chinh thuc'!I143</f>
        <v>0</v>
      </c>
      <c r="J143" s="349">
        <f>'BTC-Chinh thuc'!J143</f>
        <v>0</v>
      </c>
      <c r="K143" s="349">
        <f>'BTC-Chinh thuc'!K143</f>
        <v>0</v>
      </c>
      <c r="L143" s="349">
        <f>'BTC-Chinh thuc'!L143</f>
        <v>0</v>
      </c>
      <c r="M143" s="123"/>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49">
        <f>'BTC-Chinh thuc'!I144</f>
        <v>0</v>
      </c>
      <c r="J144" s="349">
        <f>'BTC-Chinh thuc'!J144</f>
        <v>0</v>
      </c>
      <c r="K144" s="349">
        <f>'BTC-Chinh thuc'!K144</f>
        <v>0</v>
      </c>
      <c r="L144" s="349">
        <f>'BTC-Chinh thuc'!L144</f>
        <v>0</v>
      </c>
      <c r="M144" s="123"/>
      <c r="N144" s="123"/>
      <c r="O144" s="123"/>
      <c r="P144" s="123"/>
      <c r="Q144" s="123"/>
      <c r="R144" s="123"/>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49">
        <f>'BTC-Chinh thuc'!I145</f>
        <v>0</v>
      </c>
      <c r="J145" s="349">
        <f>'BTC-Chinh thuc'!J145</f>
        <v>0</v>
      </c>
      <c r="K145" s="349">
        <f>'BTC-Chinh thuc'!K145</f>
        <v>0</v>
      </c>
      <c r="L145" s="349">
        <f>'BTC-Chinh thuc'!L145</f>
        <v>0</v>
      </c>
      <c r="M145" s="123"/>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49">
        <f>'BTC-Chinh thuc'!I146</f>
        <v>0</v>
      </c>
      <c r="J146" s="349">
        <f>'BTC-Chinh thuc'!J146</f>
        <v>0</v>
      </c>
      <c r="K146" s="349">
        <f>'BTC-Chinh thuc'!K146</f>
        <v>0</v>
      </c>
      <c r="L146" s="349">
        <f>'BTC-Chinh thuc'!L146</f>
        <v>0</v>
      </c>
      <c r="M146" s="123"/>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49">
        <f>'BTC-Chinh thuc'!I147</f>
        <v>0</v>
      </c>
      <c r="J147" s="349">
        <f>'BTC-Chinh thuc'!J147</f>
        <v>0</v>
      </c>
      <c r="K147" s="349">
        <f>'BTC-Chinh thuc'!K147</f>
        <v>0</v>
      </c>
      <c r="L147" s="349">
        <f>'BTC-Chinh thuc'!L147</f>
        <v>0</v>
      </c>
      <c r="M147" s="123"/>
      <c r="N147" s="123"/>
      <c r="O147" s="123"/>
      <c r="P147" s="123"/>
      <c r="Q147" s="123"/>
      <c r="R147" s="123"/>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25743.006637873648</v>
      </c>
      <c r="I148" s="349">
        <f>'BTC-Chinh thuc'!I148</f>
        <v>40290</v>
      </c>
      <c r="J148" s="349">
        <f>'BTC-Chinh thuc'!J148</f>
        <v>37840</v>
      </c>
      <c r="K148" s="349">
        <f>'BTC-Chinh thuc'!K148</f>
        <v>2450</v>
      </c>
      <c r="L148" s="349">
        <f>'BTC-Chinh thuc'!L148</f>
        <v>0</v>
      </c>
      <c r="M148" s="95"/>
      <c r="N148" s="95"/>
      <c r="O148" s="95"/>
      <c r="P148" s="95"/>
      <c r="Q148" s="95"/>
      <c r="R148" s="95"/>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9">
        <f>'BTC-Chinh thuc'!I149</f>
        <v>1228419.5</v>
      </c>
      <c r="J149" s="349">
        <f>'BTC-Chinh thuc'!J149</f>
        <v>231575.5</v>
      </c>
      <c r="K149" s="349">
        <f>'BTC-Chinh thuc'!K149</f>
        <v>804424</v>
      </c>
      <c r="L149" s="349">
        <f>'BTC-Chinh thuc'!L149</f>
        <v>192420</v>
      </c>
      <c r="M149" s="95"/>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49">
        <f>'BTC-Chinh thuc'!I150</f>
        <v>889098</v>
      </c>
      <c r="J150" s="349">
        <f>'BTC-Chinh thuc'!J150</f>
        <v>161084</v>
      </c>
      <c r="K150" s="349">
        <f>'BTC-Chinh thuc'!K150</f>
        <v>728014</v>
      </c>
      <c r="L150" s="349">
        <f>'BTC-Chinh thuc'!L150</f>
        <v>0</v>
      </c>
      <c r="M150" s="99"/>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49">
        <f>'BTC-Chinh thuc'!I151</f>
        <v>0</v>
      </c>
      <c r="J151" s="349">
        <f>'BTC-Chinh thuc'!J151</f>
        <v>0</v>
      </c>
      <c r="K151" s="349">
        <f>'BTC-Chinh thuc'!K151</f>
        <v>0</v>
      </c>
      <c r="L151" s="349">
        <f>'BTC-Chinh thuc'!L151</f>
        <v>0</v>
      </c>
      <c r="M151" s="99"/>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49">
        <f>'BTC-Chinh thuc'!I152</f>
        <v>0</v>
      </c>
      <c r="J152" s="349">
        <f>'BTC-Chinh thuc'!J152</f>
        <v>0</v>
      </c>
      <c r="K152" s="349">
        <f>'BTC-Chinh thuc'!K152</f>
        <v>0</v>
      </c>
      <c r="L152" s="349">
        <f>'BTC-Chinh thuc'!L152</f>
        <v>0</v>
      </c>
      <c r="M152" s="99"/>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49">
        <f>'BTC-Chinh thuc'!I153</f>
        <v>0</v>
      </c>
      <c r="J153" s="349">
        <f>'BTC-Chinh thuc'!J153</f>
        <v>0</v>
      </c>
      <c r="K153" s="349">
        <f>'BTC-Chinh thuc'!K153</f>
        <v>0</v>
      </c>
      <c r="L153" s="349">
        <f>'BTC-Chinh thuc'!L153</f>
        <v>0</v>
      </c>
      <c r="M153" s="123"/>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49">
        <f>'BTC-Chinh thuc'!I154</f>
        <v>0</v>
      </c>
      <c r="J154" s="349">
        <f>'BTC-Chinh thuc'!J154</f>
        <v>0</v>
      </c>
      <c r="K154" s="349">
        <f>'BTC-Chinh thuc'!K154</f>
        <v>0</v>
      </c>
      <c r="L154" s="349">
        <f>'BTC-Chinh thuc'!L154</f>
        <v>0</v>
      </c>
      <c r="M154" s="123"/>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49">
        <f>'BTC-Chinh thuc'!I155</f>
        <v>0</v>
      </c>
      <c r="J155" s="349">
        <f>'BTC-Chinh thuc'!J155</f>
        <v>0</v>
      </c>
      <c r="K155" s="349">
        <f>'BTC-Chinh thuc'!K155</f>
        <v>0</v>
      </c>
      <c r="L155" s="349">
        <f>'BTC-Chinh thuc'!L155</f>
        <v>0</v>
      </c>
      <c r="M155" s="123"/>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49">
        <f>'BTC-Chinh thuc'!I156</f>
        <v>0</v>
      </c>
      <c r="J156" s="349">
        <f>'BTC-Chinh thuc'!J156</f>
        <v>0</v>
      </c>
      <c r="K156" s="349">
        <f>'BTC-Chinh thuc'!K156</f>
        <v>0</v>
      </c>
      <c r="L156" s="349">
        <f>'BTC-Chinh thuc'!L156</f>
        <v>0</v>
      </c>
      <c r="M156" s="123"/>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49">
        <f>'BTC-Chinh thuc'!I157</f>
        <v>87641</v>
      </c>
      <c r="J157" s="349">
        <f>'BTC-Chinh thuc'!J157</f>
        <v>58091</v>
      </c>
      <c r="K157" s="349">
        <f>'BTC-Chinh thuc'!K157</f>
        <v>29550</v>
      </c>
      <c r="L157" s="349">
        <f>'BTC-Chinh thuc'!L157</f>
        <v>0</v>
      </c>
      <c r="M157" s="123"/>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49">
        <f>'BTC-Chinh thuc'!I158</f>
        <v>53260.5</v>
      </c>
      <c r="J158" s="349">
        <f>'BTC-Chinh thuc'!J158</f>
        <v>6400.5</v>
      </c>
      <c r="K158" s="349">
        <f>'BTC-Chinh thuc'!K158</f>
        <v>46860</v>
      </c>
      <c r="L158" s="349">
        <f>'BTC-Chinh thuc'!L158</f>
        <v>0</v>
      </c>
      <c r="M158" s="123"/>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49">
        <f>'BTC-Chinh thuc'!I159</f>
        <v>0</v>
      </c>
      <c r="J159" s="349">
        <f>'BTC-Chinh thuc'!J159</f>
        <v>0</v>
      </c>
      <c r="K159" s="349">
        <f>'BTC-Chinh thuc'!K159</f>
        <v>0</v>
      </c>
      <c r="L159" s="349">
        <f>'BTC-Chinh thuc'!L159</f>
        <v>0</v>
      </c>
      <c r="M159" s="123"/>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49">
        <f>'BTC-Chinh thuc'!I160</f>
        <v>6000</v>
      </c>
      <c r="J160" s="349">
        <f>'BTC-Chinh thuc'!J160</f>
        <v>6000</v>
      </c>
      <c r="K160" s="349">
        <f>'BTC-Chinh thuc'!K160</f>
        <v>0</v>
      </c>
      <c r="L160" s="349">
        <f>'BTC-Chinh thuc'!L160</f>
        <v>0</v>
      </c>
      <c r="M160" s="123"/>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9">
        <f>'BTC-Chinh thuc'!I161</f>
        <v>98143</v>
      </c>
      <c r="J161" s="349">
        <f>'BTC-Chinh thuc'!J161</f>
        <v>35490</v>
      </c>
      <c r="K161" s="349">
        <f>'BTC-Chinh thuc'!K161</f>
        <v>62653</v>
      </c>
      <c r="L161" s="349">
        <f>'BTC-Chinh thuc'!L161</f>
        <v>0</v>
      </c>
      <c r="M161" s="95"/>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9">
        <f>'BTC-Chinh thuc'!I162</f>
        <v>0</v>
      </c>
      <c r="J162" s="349">
        <f>'BTC-Chinh thuc'!J162</f>
        <v>0</v>
      </c>
      <c r="K162" s="349">
        <f>'BTC-Chinh thuc'!K162</f>
        <v>0</v>
      </c>
      <c r="L162" s="349">
        <f>'BTC-Chinh thuc'!L162</f>
        <v>0</v>
      </c>
      <c r="M162" s="99"/>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9">
        <f>'BTC-Chinh thuc'!I163</f>
        <v>0</v>
      </c>
      <c r="J163" s="349">
        <f>'BTC-Chinh thuc'!J163</f>
        <v>0</v>
      </c>
      <c r="K163" s="349">
        <f>'BTC-Chinh thuc'!K163</f>
        <v>0</v>
      </c>
      <c r="L163" s="349">
        <f>'BTC-Chinh thuc'!L163</f>
        <v>0</v>
      </c>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9">
        <f>'BTC-Chinh thuc'!I164</f>
        <v>0</v>
      </c>
      <c r="J164" s="349">
        <f>'BTC-Chinh thuc'!J164</f>
        <v>0</v>
      </c>
      <c r="K164" s="349">
        <f>'BTC-Chinh thuc'!K164</f>
        <v>0</v>
      </c>
      <c r="L164" s="349">
        <f>'BTC-Chinh thuc'!L164</f>
        <v>0</v>
      </c>
      <c r="M164" s="69"/>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9">
        <f>'BTC-Chinh thuc'!I165</f>
        <v>0</v>
      </c>
      <c r="J165" s="349">
        <f>'BTC-Chinh thuc'!J165</f>
        <v>0</v>
      </c>
      <c r="K165" s="349">
        <f>'BTC-Chinh thuc'!K165</f>
        <v>0</v>
      </c>
      <c r="L165" s="349">
        <f>'BTC-Chinh thuc'!L165</f>
        <v>0</v>
      </c>
      <c r="M165" s="69"/>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9">
        <f>'BTC-Chinh thuc'!I166</f>
        <v>0</v>
      </c>
      <c r="J166" s="349">
        <f>'BTC-Chinh thuc'!J166</f>
        <v>0</v>
      </c>
      <c r="K166" s="349">
        <f>'BTC-Chinh thuc'!K166</f>
        <v>0</v>
      </c>
      <c r="L166" s="349">
        <f>'BTC-Chinh thuc'!L166</f>
        <v>0</v>
      </c>
      <c r="M166" s="69"/>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9">
        <f>'BTC-Chinh thuc'!I167</f>
        <v>0</v>
      </c>
      <c r="J167" s="349">
        <f>'BTC-Chinh thuc'!J167</f>
        <v>0</v>
      </c>
      <c r="K167" s="349">
        <f>'BTC-Chinh thuc'!K167</f>
        <v>0</v>
      </c>
      <c r="L167" s="349">
        <f>'BTC-Chinh thuc'!L167</f>
        <v>0</v>
      </c>
      <c r="M167" s="69"/>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9">
        <f>'BTC-Chinh thuc'!I168</f>
        <v>0</v>
      </c>
      <c r="J168" s="349">
        <f>'BTC-Chinh thuc'!J168</f>
        <v>0</v>
      </c>
      <c r="K168" s="349">
        <f>'BTC-Chinh thuc'!K168</f>
        <v>0</v>
      </c>
      <c r="L168" s="349">
        <f>'BTC-Chinh thuc'!L168</f>
        <v>0</v>
      </c>
      <c r="M168" s="157"/>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9">
        <f>'BTC-Chinh thuc'!I169</f>
        <v>0</v>
      </c>
      <c r="J169" s="349">
        <f>'BTC-Chinh thuc'!J169</f>
        <v>0</v>
      </c>
      <c r="K169" s="349">
        <f>'BTC-Chinh thuc'!K169</f>
        <v>0</v>
      </c>
      <c r="L169" s="349">
        <f>'BTC-Chinh thuc'!L169</f>
        <v>0</v>
      </c>
      <c r="M169" s="69"/>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9">
        <f>'BTC-Chinh thuc'!I170</f>
        <v>0</v>
      </c>
      <c r="J170" s="349">
        <f>'BTC-Chinh thuc'!J170</f>
        <v>0</v>
      </c>
      <c r="K170" s="349">
        <f>'BTC-Chinh thuc'!K170</f>
        <v>0</v>
      </c>
      <c r="L170" s="349">
        <f>'BTC-Chinh thuc'!L170</f>
        <v>0</v>
      </c>
      <c r="M170" s="69"/>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9">
        <f>'BTC-Chinh thuc'!I171</f>
        <v>0</v>
      </c>
      <c r="J171" s="349">
        <f>'BTC-Chinh thuc'!J171</f>
        <v>0</v>
      </c>
      <c r="K171" s="349">
        <f>'BTC-Chinh thuc'!K171</f>
        <v>0</v>
      </c>
      <c r="L171" s="349">
        <f>'BTC-Chinh thuc'!L171</f>
        <v>0</v>
      </c>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9">
        <f>'BTC-Chinh thuc'!I172</f>
        <v>0</v>
      </c>
      <c r="J172" s="349">
        <f>'BTC-Chinh thuc'!J172</f>
        <v>0</v>
      </c>
      <c r="K172" s="349">
        <f>'BTC-Chinh thuc'!K172</f>
        <v>0</v>
      </c>
      <c r="L172" s="349">
        <f>'BTC-Chinh thuc'!L172</f>
        <v>0</v>
      </c>
      <c r="M172" s="99"/>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9">
        <f>'BTC-Chinh thuc'!I173</f>
        <v>0</v>
      </c>
      <c r="J173" s="349">
        <f>'BTC-Chinh thuc'!J173</f>
        <v>0</v>
      </c>
      <c r="K173" s="349">
        <f>'BTC-Chinh thuc'!K173</f>
        <v>0</v>
      </c>
      <c r="L173" s="349">
        <f>'BTC-Chinh thuc'!L173</f>
        <v>0</v>
      </c>
      <c r="M173" s="99"/>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9">
        <f>'BTC-Chinh thuc'!I174</f>
        <v>40971</v>
      </c>
      <c r="J174" s="349">
        <f>'BTC-Chinh thuc'!J174</f>
        <v>16356</v>
      </c>
      <c r="K174" s="349">
        <f>'BTC-Chinh thuc'!K174</f>
        <v>24615</v>
      </c>
      <c r="L174" s="349">
        <f>'BTC-Chinh thuc'!L174</f>
        <v>0</v>
      </c>
      <c r="M174" s="95"/>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9">
        <f>'BTC-Chinh thuc'!I175</f>
        <v>0</v>
      </c>
      <c r="J175" s="349">
        <f>'BTC-Chinh thuc'!J175</f>
        <v>0</v>
      </c>
      <c r="K175" s="349">
        <f>'BTC-Chinh thuc'!K175</f>
        <v>0</v>
      </c>
      <c r="L175" s="349">
        <f>'BTC-Chinh thuc'!L175</f>
        <v>0</v>
      </c>
      <c r="M175" s="99"/>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9">
        <f>'BTC-Chinh thuc'!I176</f>
        <v>0</v>
      </c>
      <c r="J176" s="349">
        <f>'BTC-Chinh thuc'!J176</f>
        <v>0</v>
      </c>
      <c r="K176" s="349">
        <f>'BTC-Chinh thuc'!K176</f>
        <v>0</v>
      </c>
      <c r="L176" s="349">
        <f>'BTC-Chinh thuc'!L176</f>
        <v>0</v>
      </c>
      <c r="M176" s="99"/>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f>M5+546179</f>
        <v>1956148.2803725153</v>
      </c>
      <c r="I177" s="349">
        <f>'BTC-Chinh thuc'!I177</f>
        <v>0</v>
      </c>
      <c r="J177" s="349">
        <f>'BTC-Chinh thuc'!J177</f>
        <v>0</v>
      </c>
      <c r="K177" s="349">
        <f>'BTC-Chinh thuc'!K177</f>
        <v>0</v>
      </c>
      <c r="L177" s="349">
        <f>'BTC-Chinh thuc'!L177</f>
        <v>0</v>
      </c>
      <c r="M177" s="95"/>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69"/>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69"/>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105"/>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69"/>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69"/>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69"/>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69"/>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69"/>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69"/>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69"/>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ht="15.75">
      <c r="A189" s="123"/>
      <c r="B189" s="94"/>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1">
    <mergeCell ref="B186:D186"/>
    <mergeCell ref="I6:I8"/>
    <mergeCell ref="D6:D8"/>
    <mergeCell ref="E6:E8"/>
    <mergeCell ref="F6:F8"/>
    <mergeCell ref="B182:D182"/>
    <mergeCell ref="B185:D185"/>
    <mergeCell ref="B184:D184"/>
    <mergeCell ref="B183:D183"/>
    <mergeCell ref="L6:L8"/>
    <mergeCell ref="J7:J8"/>
    <mergeCell ref="K7:K8"/>
    <mergeCell ref="B181:D181"/>
    <mergeCell ref="G6:G8"/>
    <mergeCell ref="H6:H8"/>
    <mergeCell ref="J6:K6"/>
    <mergeCell ref="A2:K2"/>
    <mergeCell ref="A3:K3"/>
    <mergeCell ref="A6:A8"/>
    <mergeCell ref="B6:B8"/>
    <mergeCell ref="C6:C8"/>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1"/>
  <sheetViews>
    <sheetView topLeftCell="A118" workbookViewId="0">
      <selection activeCell="D49" sqref="D49"/>
    </sheetView>
  </sheetViews>
  <sheetFormatPr defaultColWidth="9.140625" defaultRowHeight="15"/>
  <cols>
    <col min="1" max="1" width="5.7109375" style="71" customWidth="1"/>
    <col min="2" max="2" width="48.140625" style="71" customWidth="1"/>
    <col min="3" max="3" width="8" style="71" hidden="1" customWidth="1"/>
    <col min="4" max="4" width="13.140625" style="71" hidden="1" customWidth="1"/>
    <col min="5" max="7" width="11.5703125" style="71" hidden="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H11+H40+H52+H89+H99+H106+H113+H127+H137+H147+H148+H160+H173</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row>
    <row r="7" spans="1:256" s="77" customFormat="1" ht="21" customHeight="1">
      <c r="A7" s="1001"/>
      <c r="B7" s="978"/>
      <c r="C7" s="980"/>
      <c r="D7" s="980"/>
      <c r="E7" s="980"/>
      <c r="F7" s="980"/>
      <c r="G7" s="980"/>
      <c r="H7" s="980"/>
      <c r="I7" s="980"/>
      <c r="J7" s="1002" t="s">
        <v>353</v>
      </c>
      <c r="K7" s="1002" t="s">
        <v>354</v>
      </c>
    </row>
    <row r="8" spans="1:256" s="77" customFormat="1" ht="24.75" customHeight="1">
      <c r="A8" s="1001"/>
      <c r="B8" s="978"/>
      <c r="C8" s="980"/>
      <c r="D8" s="980"/>
      <c r="E8" s="980"/>
      <c r="F8" s="980"/>
      <c r="G8" s="980"/>
      <c r="H8" s="980"/>
      <c r="I8" s="980"/>
      <c r="J8" s="1002"/>
      <c r="K8" s="1002"/>
    </row>
    <row r="9" spans="1:256" s="82" customFormat="1" ht="15" customHeight="1">
      <c r="A9" s="79">
        <v>1</v>
      </c>
      <c r="B9" s="79">
        <f>A9+1</f>
        <v>2</v>
      </c>
      <c r="C9" s="79">
        <f>B9+1</f>
        <v>3</v>
      </c>
      <c r="D9" s="79">
        <f>C9+1</f>
        <v>4</v>
      </c>
      <c r="E9" s="79">
        <f>D9+1</f>
        <v>5</v>
      </c>
      <c r="F9" s="79">
        <v>6</v>
      </c>
      <c r="G9" s="79">
        <v>7</v>
      </c>
      <c r="H9" s="79">
        <v>3</v>
      </c>
      <c r="I9" s="79" t="s">
        <v>365</v>
      </c>
      <c r="J9" s="79">
        <v>5</v>
      </c>
      <c r="K9" s="79">
        <v>6</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f>H11+H40+H52+H89+H99+H106+H113+H127+H137+H147+H148+H160+H173+H176</f>
        <v>10117459.698943229</v>
      </c>
      <c r="I10" s="91">
        <f>J10+K10</f>
        <v>7590179</v>
      </c>
      <c r="J10" s="91">
        <f>J11+J40+J52+J89+J99+J106+J113+J127+J137+J147+J148+J160+J173+J176</f>
        <v>2392908</v>
      </c>
      <c r="K10" s="91">
        <f>K11+K40+K52+K89+K99+K106+K113+K127+K137+K147+K148+K160+K173+K176</f>
        <v>5197271</v>
      </c>
      <c r="L10" s="69"/>
      <c r="M10" s="69"/>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f>D11</f>
        <v>3939757.8465529997</v>
      </c>
      <c r="I11" s="91">
        <f t="shared" ref="I11:I74" si="0">J11+K11</f>
        <v>3345788</v>
      </c>
      <c r="J11" s="91">
        <f>J12+J33+J39</f>
        <v>647356</v>
      </c>
      <c r="K11" s="91">
        <f>K12+K33+K39</f>
        <v>2698432</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f>H13+H18+H29+H30+H31+H32</f>
        <v>3462908.5123067312</v>
      </c>
      <c r="I12" s="91">
        <f>J12+K12</f>
        <v>3193359</v>
      </c>
      <c r="J12" s="93">
        <f>J13+J29+J30+J31+J32+J25+J26</f>
        <v>523378</v>
      </c>
      <c r="K12" s="93">
        <f>K13+K29+K30+K31+K32+K25+K26</f>
        <v>2669981</v>
      </c>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f>H14+H15+H16+H17</f>
        <v>1628040.6290249999</v>
      </c>
      <c r="I13" s="91">
        <f t="shared" si="0"/>
        <v>3001892</v>
      </c>
      <c r="J13" s="103">
        <f>523378-21087-555</f>
        <v>501736</v>
      </c>
      <c r="K13" s="104">
        <v>2500156</v>
      </c>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f>F14*G14*(1+$G$180)/1000000</f>
        <v>155500.31456999999</v>
      </c>
      <c r="I14" s="91">
        <f t="shared" si="0"/>
        <v>0</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f>F15*G15*(1+$G$180)/1000000</f>
        <v>814831.32276000001</v>
      </c>
      <c r="I15" s="91">
        <f t="shared" si="0"/>
        <v>0</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f>F16*G16*(1+$G$180)/1000000</f>
        <v>422184.31321499997</v>
      </c>
      <c r="I16" s="91">
        <f t="shared" si="0"/>
        <v>0</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f>F17*G17*(1+$G$180)/1000000</f>
        <v>235524.67848000003</v>
      </c>
      <c r="I17" s="91">
        <f t="shared" si="0"/>
        <v>0</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f>+IF(H28&gt;82%,(H19+H25+H26+H27)/82%-H13,0)</f>
        <v>1754634.3512817316</v>
      </c>
      <c r="I18" s="91">
        <f t="shared" si="0"/>
        <v>0</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91">
        <f t="shared" si="0"/>
        <v>0</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91">
        <f t="shared" si="0"/>
        <v>0</v>
      </c>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91">
        <f t="shared" si="0"/>
        <v>0</v>
      </c>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91">
        <f t="shared" si="0"/>
        <v>0</v>
      </c>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91">
        <f t="shared" si="0"/>
        <v>0</v>
      </c>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91">
        <f t="shared" si="0"/>
        <v>0</v>
      </c>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91">
        <f t="shared" si="0"/>
        <v>51865</v>
      </c>
      <c r="J25" s="103">
        <v>21087</v>
      </c>
      <c r="K25" s="104">
        <f>51865-21087</f>
        <v>30778</v>
      </c>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91">
        <f t="shared" si="0"/>
        <v>59369</v>
      </c>
      <c r="J26" s="134"/>
      <c r="K26" s="192">
        <v>59369</v>
      </c>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91">
        <f t="shared" si="0"/>
        <v>0</v>
      </c>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332">
        <f>+(H19+H25+H26+H27)/H13</f>
        <v>1.703761831492306</v>
      </c>
      <c r="I28" s="91">
        <f t="shared" si="0"/>
        <v>0</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91">
        <f t="shared" si="0"/>
        <v>30697</v>
      </c>
      <c r="J29" s="103"/>
      <c r="K29" s="104">
        <v>30697</v>
      </c>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91">
        <f t="shared" si="0"/>
        <v>9867</v>
      </c>
      <c r="J30" s="134">
        <v>555</v>
      </c>
      <c r="K30" s="192">
        <f>9867-555</f>
        <v>9312</v>
      </c>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91">
        <f t="shared" si="0"/>
        <v>34188</v>
      </c>
      <c r="J31" s="134"/>
      <c r="K31" s="192">
        <v>34188</v>
      </c>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f>'chi 2016 xac định lại'!E27</f>
        <v>5481.3</v>
      </c>
      <c r="I32" s="91">
        <f t="shared" si="0"/>
        <v>5481</v>
      </c>
      <c r="J32" s="103"/>
      <c r="K32" s="104">
        <v>5481</v>
      </c>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f>H34</f>
        <v>172984.42147500001</v>
      </c>
      <c r="I33" s="91">
        <f t="shared" si="0"/>
        <v>152429</v>
      </c>
      <c r="J33" s="97">
        <v>123978</v>
      </c>
      <c r="K33" s="93">
        <v>28451</v>
      </c>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f>SUM(H35:H38)</f>
        <v>172984.42147500001</v>
      </c>
      <c r="I34" s="91">
        <f t="shared" si="0"/>
        <v>0</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f>F35*G35*(1+$G$180)/1000000</f>
        <v>17388.458999999999</v>
      </c>
      <c r="I35" s="91">
        <f t="shared" si="0"/>
        <v>0</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f>F36*G36*(1+$G$180)/1000000</f>
        <v>86099.277375000005</v>
      </c>
      <c r="I36" s="91">
        <f t="shared" si="0"/>
        <v>0</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f>F37*G37*(1+$G$180)/1000000</f>
        <v>44610.218099999998</v>
      </c>
      <c r="I37" s="91">
        <f t="shared" si="0"/>
        <v>0</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f>F38*G38*(1+$G$180)/1000000</f>
        <v>24886.467000000001</v>
      </c>
      <c r="I38" s="91">
        <f t="shared" si="0"/>
        <v>0</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f>H11-H12-H33</f>
        <v>303864.91277126851</v>
      </c>
      <c r="I39" s="91">
        <f t="shared" si="0"/>
        <v>0</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f>H41+H46+H47+H48+H49+H50+H51</f>
        <v>957979.84716</v>
      </c>
      <c r="I40" s="91">
        <f t="shared" si="0"/>
        <v>792595</v>
      </c>
      <c r="J40" s="93">
        <f>J41+J46+J47+J48+J49+J50+J51</f>
        <v>789255</v>
      </c>
      <c r="K40" s="93">
        <f>K41+K46+K47+K48+K49+K50+K51</f>
        <v>3340</v>
      </c>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f>SUM(H42:H45)</f>
        <v>556874.31420000002</v>
      </c>
      <c r="I41" s="91">
        <f t="shared" si="0"/>
        <v>391490</v>
      </c>
      <c r="J41" s="97">
        <v>388150</v>
      </c>
      <c r="K41" s="98">
        <v>3340</v>
      </c>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f>F42*G42*(1+$G$180)/1000000</f>
        <v>47681.904690000003</v>
      </c>
      <c r="I42" s="91">
        <f t="shared" si="0"/>
        <v>0</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f>F43*G43*(1+$G$180)/1000000</f>
        <v>287000.88075000001</v>
      </c>
      <c r="I43" s="91">
        <f t="shared" si="0"/>
        <v>0</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f>F44*G44*(1+$G$180)/1000000</f>
        <v>143384.91007499999</v>
      </c>
      <c r="I44" s="91">
        <f t="shared" si="0"/>
        <v>0</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f>F45*G45*(1+$G$180)/1000000</f>
        <v>78806.618684999994</v>
      </c>
      <c r="I45" s="91">
        <f t="shared" si="0"/>
        <v>0</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91">
        <f t="shared" si="0"/>
        <v>110015</v>
      </c>
      <c r="J46" s="109">
        <v>110015</v>
      </c>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91">
        <f t="shared" si="0"/>
        <v>40585</v>
      </c>
      <c r="J47" s="109">
        <v>40585</v>
      </c>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91">
        <f t="shared" si="0"/>
        <v>212258</v>
      </c>
      <c r="J48" s="97">
        <v>212258</v>
      </c>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91">
        <f t="shared" si="0"/>
        <v>4</v>
      </c>
      <c r="J49" s="97">
        <v>4</v>
      </c>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1">
        <f t="shared" si="0"/>
        <v>31371</v>
      </c>
      <c r="J50" s="97">
        <v>31371</v>
      </c>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1">
        <f t="shared" si="0"/>
        <v>6872</v>
      </c>
      <c r="J51" s="97">
        <v>6872</v>
      </c>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f>H53+H69+H87</f>
        <v>1661628.4379198402</v>
      </c>
      <c r="I52" s="91">
        <f>J52+K52</f>
        <v>1743740</v>
      </c>
      <c r="J52" s="92">
        <f>J53+J88</f>
        <v>465537</v>
      </c>
      <c r="K52" s="92">
        <f>K53+K88</f>
        <v>1278203</v>
      </c>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f>H54+H59+H63+H67</f>
        <v>327749.45457499998</v>
      </c>
      <c r="I53" s="91">
        <f t="shared" si="0"/>
        <v>1735312</v>
      </c>
      <c r="J53" s="92">
        <f>361109+18170+86258</f>
        <v>465537</v>
      </c>
      <c r="K53" s="93">
        <v>1269775</v>
      </c>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f>SUM(H55:H58)</f>
        <v>115449.454575</v>
      </c>
      <c r="I54" s="91">
        <f t="shared" si="0"/>
        <v>0</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f>F55*G55*(1+$G$180)/1000000</f>
        <v>13753.893690000001</v>
      </c>
      <c r="I55" s="91">
        <f t="shared" si="0"/>
        <v>0</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f>F56*G56*(1+$G$180)/1000000</f>
        <v>56261.006999999998</v>
      </c>
      <c r="I56" s="91">
        <f t="shared" si="0"/>
        <v>0</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f>F57*G57*(1+$G$180)/1000000</f>
        <v>30802.158900000002</v>
      </c>
      <c r="I57" s="91">
        <f t="shared" si="0"/>
        <v>0</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f>F58*G58*(1+$G$180)/1000000</f>
        <v>14632.394985000003</v>
      </c>
      <c r="I58" s="91">
        <f t="shared" si="0"/>
        <v>0</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f>SUM(H60:H62)</f>
        <v>34260</v>
      </c>
      <c r="I59" s="91">
        <f t="shared" si="0"/>
        <v>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91">
        <f t="shared" si="0"/>
        <v>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91">
        <f t="shared" si="0"/>
        <v>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91">
        <f t="shared" si="0"/>
        <v>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f>SUM(H64:H66)</f>
        <v>173960</v>
      </c>
      <c r="I63" s="91">
        <f t="shared" si="0"/>
        <v>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f>F64*G64</f>
        <v>87420</v>
      </c>
      <c r="I64" s="91">
        <f t="shared" si="0"/>
        <v>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f>F65*G65</f>
        <v>22940</v>
      </c>
      <c r="I65" s="91">
        <f t="shared" si="0"/>
        <v>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f>F66*G66</f>
        <v>63600</v>
      </c>
      <c r="I66" s="91">
        <f t="shared" si="0"/>
        <v>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f>H68</f>
        <v>4080</v>
      </c>
      <c r="I67" s="91">
        <f t="shared" si="0"/>
        <v>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f>F68*G68</f>
        <v>4080</v>
      </c>
      <c r="I68" s="91">
        <f t="shared" si="0"/>
        <v>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f>H70+H76+H82+H83+H84+H85</f>
        <v>1246221.3284398802</v>
      </c>
      <c r="I69" s="91">
        <f t="shared" si="0"/>
        <v>0</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91">
        <f t="shared" si="0"/>
        <v>0</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91">
        <f t="shared" si="0"/>
        <v>0</v>
      </c>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91">
        <f t="shared" si="0"/>
        <v>0</v>
      </c>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91">
        <f t="shared" si="0"/>
        <v>0</v>
      </c>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91">
        <f t="shared" si="0"/>
        <v>0</v>
      </c>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91">
        <f t="shared" ref="I75:I143" si="1">J75+K75</f>
        <v>0</v>
      </c>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91">
        <f t="shared" si="1"/>
        <v>0</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91">
        <f t="shared" si="1"/>
        <v>0</v>
      </c>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91">
        <f t="shared" si="1"/>
        <v>0</v>
      </c>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91">
        <f t="shared" si="1"/>
        <v>0</v>
      </c>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91">
        <f t="shared" si="1"/>
        <v>0</v>
      </c>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91">
        <f t="shared" si="1"/>
        <v>0</v>
      </c>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91">
        <f t="shared" si="1"/>
        <v>0</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91">
        <f t="shared" si="1"/>
        <v>0</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91">
        <f t="shared" si="1"/>
        <v>0</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91">
        <f t="shared" si="1"/>
        <v>0</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f>H53+H69</f>
        <v>1573970.78301488</v>
      </c>
      <c r="I86" s="91">
        <f t="shared" si="1"/>
        <v>0</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91">
        <f t="shared" si="1"/>
        <v>0</v>
      </c>
      <c r="J87" s="109"/>
      <c r="K87" s="110"/>
      <c r="L87" s="69"/>
      <c r="M87" s="69"/>
      <c r="N87" s="69"/>
      <c r="O87" s="69"/>
      <c r="P87" s="69"/>
      <c r="Q87" s="69"/>
      <c r="R87" s="69"/>
      <c r="S87" s="69"/>
      <c r="T87" s="69"/>
      <c r="U87" s="69"/>
      <c r="V87" s="69"/>
      <c r="W87" s="69"/>
      <c r="X87" s="69"/>
      <c r="Y87" s="69"/>
      <c r="Z87" s="69"/>
      <c r="AA87" s="69"/>
      <c r="AB87" s="69"/>
      <c r="AC87" s="69"/>
      <c r="AD87" s="69"/>
    </row>
    <row r="88" spans="1:30" ht="27" customHeight="1">
      <c r="A88" s="88" t="s">
        <v>359</v>
      </c>
      <c r="B88" s="136" t="s">
        <v>360</v>
      </c>
      <c r="C88" s="137"/>
      <c r="D88" s="97"/>
      <c r="E88" s="97"/>
      <c r="F88" s="97"/>
      <c r="G88" s="97"/>
      <c r="H88" s="138"/>
      <c r="I88" s="91">
        <f>J88+K88</f>
        <v>8428</v>
      </c>
      <c r="J88" s="109"/>
      <c r="K88" s="104">
        <v>8428</v>
      </c>
      <c r="L88" s="69"/>
      <c r="M88" s="69"/>
      <c r="N88" s="69"/>
      <c r="O88" s="69"/>
      <c r="P88" s="69"/>
      <c r="Q88" s="69"/>
      <c r="R88" s="69"/>
      <c r="S88" s="69"/>
      <c r="T88" s="69"/>
      <c r="U88" s="69"/>
      <c r="V88" s="69"/>
      <c r="W88" s="69"/>
      <c r="X88" s="69"/>
      <c r="Y88" s="69"/>
      <c r="Z88" s="69"/>
      <c r="AA88" s="69"/>
      <c r="AB88" s="69"/>
      <c r="AC88" s="69"/>
      <c r="AD88" s="69"/>
    </row>
    <row r="89" spans="1:30" s="96" customFormat="1" ht="18" customHeight="1">
      <c r="A89" s="88">
        <v>4</v>
      </c>
      <c r="B89" s="89" t="s">
        <v>85</v>
      </c>
      <c r="C89" s="90"/>
      <c r="D89" s="91"/>
      <c r="E89" s="91">
        <v>1497493</v>
      </c>
      <c r="F89" s="91">
        <v>1497493</v>
      </c>
      <c r="G89" s="90"/>
      <c r="H89" s="91">
        <f>H90+H95+H98</f>
        <v>78048.807409999994</v>
      </c>
      <c r="I89" s="91">
        <f t="shared" si="1"/>
        <v>66601</v>
      </c>
      <c r="J89" s="92">
        <v>32065</v>
      </c>
      <c r="K89" s="93">
        <v>34536</v>
      </c>
      <c r="L89" s="95"/>
      <c r="M89" s="95"/>
      <c r="N89" s="95"/>
      <c r="O89" s="95"/>
      <c r="P89" s="95"/>
      <c r="Q89" s="95"/>
      <c r="R89" s="95"/>
      <c r="S89" s="95"/>
      <c r="T89" s="95"/>
      <c r="U89" s="95"/>
      <c r="V89" s="95"/>
      <c r="W89" s="95"/>
      <c r="X89" s="95"/>
      <c r="Y89" s="95"/>
      <c r="Z89" s="95"/>
      <c r="AA89" s="95"/>
      <c r="AB89" s="95"/>
      <c r="AC89" s="95"/>
      <c r="AD89" s="95"/>
    </row>
    <row r="90" spans="1:30" s="96" customFormat="1" ht="18" customHeight="1">
      <c r="A90" s="101" t="s">
        <v>86</v>
      </c>
      <c r="B90" s="102" t="s">
        <v>87</v>
      </c>
      <c r="C90" s="90"/>
      <c r="D90" s="91"/>
      <c r="E90" s="103">
        <v>1497478</v>
      </c>
      <c r="F90" s="103">
        <v>1497478</v>
      </c>
      <c r="G90" s="90"/>
      <c r="H90" s="103">
        <f>SUM(H91:H94)</f>
        <v>68038.807409999994</v>
      </c>
      <c r="I90" s="91">
        <f t="shared" si="1"/>
        <v>0</v>
      </c>
      <c r="J90" s="91"/>
      <c r="K90" s="93"/>
      <c r="L90" s="95"/>
      <c r="M90" s="95"/>
      <c r="N90" s="95"/>
      <c r="O90" s="95"/>
      <c r="P90" s="95"/>
      <c r="Q90" s="95"/>
      <c r="R90" s="95"/>
      <c r="S90" s="95"/>
      <c r="T90" s="95"/>
      <c r="U90" s="95"/>
      <c r="V90" s="95"/>
      <c r="W90" s="95"/>
      <c r="X90" s="95"/>
      <c r="Y90" s="95"/>
      <c r="Z90" s="95"/>
      <c r="AA90" s="95"/>
      <c r="AB90" s="95"/>
      <c r="AC90" s="95"/>
      <c r="AD90" s="95"/>
    </row>
    <row r="91" spans="1:30" ht="18" customHeight="1">
      <c r="A91" s="107"/>
      <c r="B91" s="108" t="s">
        <v>48</v>
      </c>
      <c r="C91" s="90" t="s">
        <v>49</v>
      </c>
      <c r="D91" s="109"/>
      <c r="E91" s="109">
        <v>193322</v>
      </c>
      <c r="F91" s="109">
        <v>193322</v>
      </c>
      <c r="G91" s="122">
        <v>26600</v>
      </c>
      <c r="H91" s="109">
        <f>F91*G91*(1+$G$180)/1000000</f>
        <v>6942.1930199999997</v>
      </c>
      <c r="I91" s="91">
        <f t="shared" si="1"/>
        <v>0</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50</v>
      </c>
      <c r="C92" s="90" t="s">
        <v>49</v>
      </c>
      <c r="D92" s="109"/>
      <c r="E92" s="109">
        <v>861050</v>
      </c>
      <c r="F92" s="109">
        <v>861050</v>
      </c>
      <c r="G92" s="122">
        <v>29200</v>
      </c>
      <c r="H92" s="109">
        <f>F92*G92*(1+$G$180)/1000000</f>
        <v>33942.591</v>
      </c>
      <c r="I92" s="91">
        <f t="shared" si="1"/>
        <v>0</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51</v>
      </c>
      <c r="C93" s="90" t="s">
        <v>49</v>
      </c>
      <c r="D93" s="109"/>
      <c r="E93" s="109">
        <v>318665</v>
      </c>
      <c r="F93" s="109">
        <v>318665</v>
      </c>
      <c r="G93" s="122">
        <v>40900</v>
      </c>
      <c r="H93" s="109">
        <f>F93*G93*(1+$G$180)/1000000</f>
        <v>17595.087974999999</v>
      </c>
      <c r="I93" s="91">
        <f t="shared" si="1"/>
        <v>0</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7"/>
      <c r="B94" s="108" t="s">
        <v>52</v>
      </c>
      <c r="C94" s="90" t="s">
        <v>49</v>
      </c>
      <c r="D94" s="109"/>
      <c r="E94" s="109">
        <v>124441</v>
      </c>
      <c r="F94" s="109">
        <v>124441</v>
      </c>
      <c r="G94" s="122">
        <v>56900</v>
      </c>
      <c r="H94" s="109">
        <f>F94*G94*(1+$G$180)/1000000</f>
        <v>9558.9354149999999</v>
      </c>
      <c r="I94" s="91">
        <f t="shared" si="1"/>
        <v>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1" t="s">
        <v>88</v>
      </c>
      <c r="B95" s="102" t="s">
        <v>89</v>
      </c>
      <c r="C95" s="90"/>
      <c r="D95" s="109"/>
      <c r="E95" s="103">
        <v>15</v>
      </c>
      <c r="F95" s="103">
        <v>15</v>
      </c>
      <c r="G95" s="139"/>
      <c r="H95" s="103">
        <f>H96+H97</f>
        <v>4010</v>
      </c>
      <c r="I95" s="91">
        <f t="shared" si="1"/>
        <v>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90</v>
      </c>
      <c r="C96" s="90" t="s">
        <v>71</v>
      </c>
      <c r="D96" s="109"/>
      <c r="E96" s="109">
        <v>1</v>
      </c>
      <c r="F96" s="109">
        <v>1</v>
      </c>
      <c r="G96" s="122">
        <v>510</v>
      </c>
      <c r="H96" s="109">
        <v>510</v>
      </c>
      <c r="I96" s="91">
        <f t="shared" si="1"/>
        <v>0</v>
      </c>
      <c r="J96" s="109"/>
      <c r="K96" s="110"/>
      <c r="L96" s="69"/>
      <c r="M96" s="69"/>
      <c r="N96" s="69"/>
      <c r="O96" s="69"/>
      <c r="P96" s="69"/>
      <c r="Q96" s="69"/>
      <c r="R96" s="69"/>
      <c r="S96" s="69"/>
      <c r="T96" s="69"/>
      <c r="U96" s="69"/>
      <c r="V96" s="69"/>
      <c r="W96" s="69"/>
      <c r="X96" s="69"/>
      <c r="Y96" s="69"/>
      <c r="Z96" s="69"/>
      <c r="AA96" s="69"/>
      <c r="AB96" s="69"/>
      <c r="AC96" s="69"/>
      <c r="AD96" s="69"/>
    </row>
    <row r="97" spans="1:256" ht="18" customHeight="1">
      <c r="A97" s="107"/>
      <c r="B97" s="128" t="s">
        <v>91</v>
      </c>
      <c r="C97" s="90" t="s">
        <v>71</v>
      </c>
      <c r="D97" s="109"/>
      <c r="E97" s="109">
        <v>14</v>
      </c>
      <c r="F97" s="109">
        <v>14</v>
      </c>
      <c r="G97" s="122">
        <v>250</v>
      </c>
      <c r="H97" s="109">
        <v>3500</v>
      </c>
      <c r="I97" s="91">
        <f t="shared" si="1"/>
        <v>0</v>
      </c>
      <c r="J97" s="109"/>
      <c r="K97" s="110"/>
      <c r="L97" s="69"/>
      <c r="M97" s="69"/>
      <c r="N97" s="69"/>
      <c r="O97" s="69"/>
      <c r="P97" s="69"/>
      <c r="Q97" s="69"/>
      <c r="R97" s="69"/>
      <c r="S97" s="69"/>
      <c r="T97" s="69"/>
      <c r="U97" s="69"/>
      <c r="V97" s="69"/>
      <c r="W97" s="69"/>
      <c r="X97" s="69"/>
      <c r="Y97" s="69"/>
      <c r="Z97" s="69"/>
      <c r="AA97" s="69"/>
      <c r="AB97" s="69"/>
      <c r="AC97" s="69"/>
      <c r="AD97" s="69"/>
    </row>
    <row r="98" spans="1:256" s="106" customFormat="1" ht="18" customHeight="1">
      <c r="A98" s="101" t="s">
        <v>179</v>
      </c>
      <c r="B98" s="102" t="s">
        <v>180</v>
      </c>
      <c r="C98" s="124"/>
      <c r="D98" s="103"/>
      <c r="E98" s="103">
        <v>2</v>
      </c>
      <c r="F98" s="103">
        <v>2</v>
      </c>
      <c r="G98" s="119">
        <v>3000</v>
      </c>
      <c r="H98" s="103">
        <v>6000</v>
      </c>
      <c r="I98" s="91">
        <f t="shared" si="1"/>
        <v>0</v>
      </c>
      <c r="J98" s="103"/>
      <c r="K98" s="104"/>
      <c r="L98" s="105"/>
      <c r="M98" s="105"/>
      <c r="N98" s="105"/>
      <c r="O98" s="105"/>
      <c r="P98" s="105"/>
      <c r="Q98" s="105"/>
      <c r="R98" s="105"/>
      <c r="S98" s="105"/>
      <c r="T98" s="105"/>
      <c r="U98" s="105"/>
      <c r="V98" s="105"/>
      <c r="W98" s="105"/>
      <c r="X98" s="105"/>
      <c r="Y98" s="105"/>
      <c r="Z98" s="105"/>
      <c r="AA98" s="105"/>
      <c r="AB98" s="105"/>
      <c r="AC98" s="105"/>
      <c r="AD98" s="105"/>
    </row>
    <row r="99" spans="1:256" s="96" customFormat="1" ht="18" customHeight="1">
      <c r="A99" s="88">
        <v>5</v>
      </c>
      <c r="B99" s="89" t="s">
        <v>92</v>
      </c>
      <c r="C99" s="140"/>
      <c r="D99" s="91"/>
      <c r="E99" s="91"/>
      <c r="F99" s="91"/>
      <c r="G99" s="90"/>
      <c r="H99" s="91">
        <f>H100+H105</f>
        <v>41570.41188</v>
      </c>
      <c r="I99" s="91">
        <f t="shared" si="1"/>
        <v>36865</v>
      </c>
      <c r="J99" s="92">
        <v>14020</v>
      </c>
      <c r="K99" s="93">
        <v>22845</v>
      </c>
      <c r="L99" s="95"/>
      <c r="M99" s="95"/>
      <c r="N99" s="95"/>
      <c r="O99" s="95"/>
      <c r="P99" s="95"/>
      <c r="Q99" s="95"/>
      <c r="R99" s="95"/>
      <c r="S99" s="95"/>
      <c r="T99" s="95"/>
      <c r="U99" s="95"/>
      <c r="V99" s="95"/>
      <c r="W99" s="95"/>
      <c r="X99" s="95"/>
      <c r="Y99" s="95"/>
      <c r="Z99" s="95"/>
      <c r="AA99" s="95"/>
      <c r="AB99" s="95"/>
      <c r="AC99" s="95"/>
      <c r="AD99" s="95"/>
      <c r="IV99" s="91">
        <f>+IV100+IV105</f>
        <v>0</v>
      </c>
    </row>
    <row r="100" spans="1:256" s="96" customFormat="1" ht="18" customHeight="1">
      <c r="A100" s="101" t="s">
        <v>93</v>
      </c>
      <c r="B100" s="102" t="s">
        <v>87</v>
      </c>
      <c r="C100" s="90"/>
      <c r="D100" s="91"/>
      <c r="E100" s="103">
        <v>1497478</v>
      </c>
      <c r="F100" s="103">
        <v>1497478</v>
      </c>
      <c r="G100" s="90"/>
      <c r="H100" s="103">
        <f>SUM(H101:H104)</f>
        <v>40910.41188</v>
      </c>
      <c r="I100" s="91">
        <f t="shared" si="1"/>
        <v>0</v>
      </c>
      <c r="J100" s="91"/>
      <c r="K100" s="93"/>
      <c r="L100" s="95"/>
      <c r="M100" s="95"/>
      <c r="N100" s="95"/>
      <c r="O100" s="95"/>
      <c r="P100" s="95"/>
      <c r="Q100" s="95"/>
      <c r="R100" s="95"/>
      <c r="S100" s="95"/>
      <c r="T100" s="95"/>
      <c r="U100" s="95"/>
      <c r="V100" s="95"/>
      <c r="W100" s="95"/>
      <c r="X100" s="95"/>
      <c r="Y100" s="95"/>
      <c r="Z100" s="95"/>
      <c r="AA100" s="95"/>
      <c r="AB100" s="95"/>
      <c r="AC100" s="95"/>
      <c r="AD100" s="95"/>
    </row>
    <row r="101" spans="1:256" ht="18" customHeight="1">
      <c r="A101" s="107"/>
      <c r="B101" s="108" t="s">
        <v>48</v>
      </c>
      <c r="C101" s="90" t="s">
        <v>49</v>
      </c>
      <c r="D101" s="109"/>
      <c r="E101" s="109">
        <v>193322</v>
      </c>
      <c r="F101" s="109">
        <v>193322</v>
      </c>
      <c r="G101" s="122">
        <v>15800</v>
      </c>
      <c r="H101" s="109">
        <f>F101*G101*(1+$G$180)/1000000</f>
        <v>4123.5582600000007</v>
      </c>
      <c r="I101" s="91">
        <f t="shared" si="1"/>
        <v>0</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50</v>
      </c>
      <c r="C102" s="90" t="s">
        <v>49</v>
      </c>
      <c r="D102" s="109"/>
      <c r="E102" s="109">
        <v>861050</v>
      </c>
      <c r="F102" s="109">
        <v>861050</v>
      </c>
      <c r="G102" s="122">
        <v>17600</v>
      </c>
      <c r="H102" s="109">
        <f>F102*G102*(1+$G$180)/1000000</f>
        <v>20458.547999999999</v>
      </c>
      <c r="I102" s="91">
        <f t="shared" si="1"/>
        <v>0</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51</v>
      </c>
      <c r="C103" s="90" t="s">
        <v>49</v>
      </c>
      <c r="D103" s="109"/>
      <c r="E103" s="109">
        <v>318665</v>
      </c>
      <c r="F103" s="109">
        <v>318665</v>
      </c>
      <c r="G103" s="122">
        <v>24600</v>
      </c>
      <c r="H103" s="109">
        <f>F103*G103*(1+$G$180)/1000000</f>
        <v>10582.86465</v>
      </c>
      <c r="I103" s="91">
        <f t="shared" si="1"/>
        <v>0</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18" customHeight="1">
      <c r="A104" s="107"/>
      <c r="B104" s="108" t="s">
        <v>52</v>
      </c>
      <c r="C104" s="90" t="s">
        <v>49</v>
      </c>
      <c r="D104" s="109"/>
      <c r="E104" s="109">
        <v>124441</v>
      </c>
      <c r="F104" s="109">
        <v>124441</v>
      </c>
      <c r="G104" s="122">
        <v>34200</v>
      </c>
      <c r="H104" s="109">
        <f>F104*G104*(1+$G$180)/1000000</f>
        <v>5745.4409699999997</v>
      </c>
      <c r="I104" s="91">
        <f t="shared" si="1"/>
        <v>0</v>
      </c>
      <c r="J104" s="109"/>
      <c r="K104" s="110"/>
      <c r="L104" s="69"/>
      <c r="M104" s="69"/>
      <c r="N104" s="69"/>
      <c r="O104" s="69"/>
      <c r="P104" s="69"/>
      <c r="Q104" s="69"/>
      <c r="R104" s="69"/>
      <c r="S104" s="69"/>
      <c r="T104" s="69"/>
      <c r="U104" s="69"/>
      <c r="V104" s="69"/>
      <c r="W104" s="69"/>
      <c r="X104" s="69"/>
      <c r="Y104" s="69"/>
      <c r="Z104" s="69"/>
      <c r="AA104" s="69"/>
      <c r="AB104" s="69"/>
      <c r="AC104" s="69"/>
      <c r="AD104" s="69"/>
    </row>
    <row r="105" spans="1:256" ht="51" customHeight="1">
      <c r="A105" s="101" t="s">
        <v>94</v>
      </c>
      <c r="B105" s="102" t="s">
        <v>167</v>
      </c>
      <c r="C105" s="90" t="s">
        <v>71</v>
      </c>
      <c r="D105" s="109"/>
      <c r="E105" s="103">
        <v>2</v>
      </c>
      <c r="F105" s="103">
        <v>2</v>
      </c>
      <c r="G105" s="122">
        <v>330</v>
      </c>
      <c r="H105" s="109">
        <f>F105*G105</f>
        <v>660</v>
      </c>
      <c r="I105" s="91">
        <f t="shared" si="1"/>
        <v>0</v>
      </c>
      <c r="J105" s="109"/>
      <c r="K105" s="110"/>
      <c r="L105" s="94"/>
      <c r="M105" s="69"/>
      <c r="N105" s="69"/>
      <c r="O105" s="69"/>
      <c r="P105" s="69"/>
      <c r="Q105" s="69"/>
      <c r="R105" s="69"/>
      <c r="S105" s="69"/>
      <c r="T105" s="69"/>
      <c r="U105" s="69"/>
      <c r="V105" s="69"/>
      <c r="W105" s="69"/>
      <c r="X105" s="69"/>
      <c r="Y105" s="69"/>
      <c r="Z105" s="69"/>
      <c r="AA105" s="69"/>
      <c r="AB105" s="69"/>
      <c r="AC105" s="69"/>
      <c r="AD105" s="69"/>
    </row>
    <row r="106" spans="1:256" s="96" customFormat="1" ht="18" customHeight="1">
      <c r="A106" s="88">
        <v>6</v>
      </c>
      <c r="B106" s="89" t="s">
        <v>95</v>
      </c>
      <c r="C106" s="90"/>
      <c r="D106" s="91"/>
      <c r="E106" s="91"/>
      <c r="F106" s="91"/>
      <c r="G106" s="139"/>
      <c r="H106" s="91">
        <f>H107+H112</f>
        <v>34186.852035000004</v>
      </c>
      <c r="I106" s="91">
        <f t="shared" si="1"/>
        <v>36683</v>
      </c>
      <c r="J106" s="92">
        <v>25623</v>
      </c>
      <c r="K106" s="93">
        <v>11060</v>
      </c>
      <c r="L106" s="95"/>
      <c r="M106" s="95"/>
      <c r="N106" s="95"/>
      <c r="O106" s="95"/>
      <c r="P106" s="95"/>
      <c r="Q106" s="95"/>
      <c r="R106" s="95"/>
      <c r="S106" s="95"/>
      <c r="T106" s="95"/>
      <c r="U106" s="95"/>
      <c r="V106" s="95"/>
      <c r="W106" s="95"/>
      <c r="X106" s="95"/>
      <c r="Y106" s="95"/>
      <c r="Z106" s="95"/>
      <c r="AA106" s="95"/>
      <c r="AB106" s="95"/>
      <c r="AC106" s="95"/>
      <c r="AD106" s="95"/>
    </row>
    <row r="107" spans="1:256" s="96" customFormat="1" ht="18" customHeight="1">
      <c r="A107" s="101" t="s">
        <v>96</v>
      </c>
      <c r="B107" s="102" t="s">
        <v>87</v>
      </c>
      <c r="C107" s="90"/>
      <c r="D107" s="91"/>
      <c r="E107" s="103">
        <v>1497478</v>
      </c>
      <c r="F107" s="103">
        <v>1497478</v>
      </c>
      <c r="G107" s="139"/>
      <c r="H107" s="103">
        <f>SUM(H108:H111)</f>
        <v>33835.852035000004</v>
      </c>
      <c r="I107" s="91">
        <f t="shared" si="1"/>
        <v>0</v>
      </c>
      <c r="J107" s="91"/>
      <c r="K107" s="93"/>
      <c r="L107" s="95"/>
      <c r="M107" s="95"/>
      <c r="N107" s="95"/>
      <c r="O107" s="95"/>
      <c r="P107" s="95"/>
      <c r="Q107" s="95"/>
      <c r="R107" s="95"/>
      <c r="S107" s="95"/>
      <c r="T107" s="95"/>
      <c r="U107" s="95"/>
      <c r="V107" s="95"/>
      <c r="W107" s="95"/>
      <c r="X107" s="95"/>
      <c r="Y107" s="95"/>
      <c r="Z107" s="95"/>
      <c r="AA107" s="95"/>
      <c r="AB107" s="95"/>
      <c r="AC107" s="95"/>
      <c r="AD107" s="95"/>
    </row>
    <row r="108" spans="1:256" ht="18" customHeight="1">
      <c r="A108" s="107"/>
      <c r="B108" s="108" t="s">
        <v>48</v>
      </c>
      <c r="C108" s="90" t="s">
        <v>49</v>
      </c>
      <c r="D108" s="109"/>
      <c r="E108" s="109">
        <v>193322</v>
      </c>
      <c r="F108" s="109">
        <v>193322</v>
      </c>
      <c r="G108" s="122">
        <v>18600</v>
      </c>
      <c r="H108" s="109">
        <f>F108*G108*(1+$G$180)/1000000</f>
        <v>4854.3154199999999</v>
      </c>
      <c r="I108" s="91">
        <f t="shared" si="1"/>
        <v>0</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50</v>
      </c>
      <c r="C109" s="90" t="s">
        <v>49</v>
      </c>
      <c r="D109" s="109"/>
      <c r="E109" s="109">
        <v>861050</v>
      </c>
      <c r="F109" s="109">
        <v>861050</v>
      </c>
      <c r="G109" s="122">
        <v>13900</v>
      </c>
      <c r="H109" s="109">
        <f>F109*G109*(1+$G$180)/1000000</f>
        <v>16157.603250000002</v>
      </c>
      <c r="I109" s="91">
        <f t="shared" si="1"/>
        <v>0</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51</v>
      </c>
      <c r="C110" s="90" t="s">
        <v>49</v>
      </c>
      <c r="D110" s="109"/>
      <c r="E110" s="109">
        <v>318665</v>
      </c>
      <c r="F110" s="109">
        <v>318665</v>
      </c>
      <c r="G110" s="122">
        <v>19500</v>
      </c>
      <c r="H110" s="109">
        <f>F110*G110*(1+$G$180)/1000000</f>
        <v>8388.8561250000002</v>
      </c>
      <c r="I110" s="91">
        <f t="shared" si="1"/>
        <v>0</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18" customHeight="1">
      <c r="A111" s="107"/>
      <c r="B111" s="108" t="s">
        <v>52</v>
      </c>
      <c r="C111" s="90" t="s">
        <v>49</v>
      </c>
      <c r="D111" s="109"/>
      <c r="E111" s="109">
        <v>124441</v>
      </c>
      <c r="F111" s="109">
        <v>124441</v>
      </c>
      <c r="G111" s="122">
        <v>26400</v>
      </c>
      <c r="H111" s="109">
        <f>F111*G111*(1+$G$180)/1000000</f>
        <v>4435.0772399999996</v>
      </c>
      <c r="I111" s="91">
        <f t="shared" si="1"/>
        <v>0</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ht="50.45" customHeight="1">
      <c r="A112" s="101" t="s">
        <v>97</v>
      </c>
      <c r="B112" s="141" t="s">
        <v>295</v>
      </c>
      <c r="C112" s="90" t="s">
        <v>98</v>
      </c>
      <c r="D112" s="109"/>
      <c r="E112" s="109">
        <v>26</v>
      </c>
      <c r="F112" s="109">
        <v>26</v>
      </c>
      <c r="G112" s="142">
        <v>13.5</v>
      </c>
      <c r="H112" s="109">
        <f>F112*G112</f>
        <v>351</v>
      </c>
      <c r="I112" s="91">
        <f t="shared" si="1"/>
        <v>0</v>
      </c>
      <c r="J112" s="109"/>
      <c r="K112" s="110"/>
      <c r="L112" s="69"/>
      <c r="M112" s="69"/>
      <c r="N112" s="69"/>
      <c r="O112" s="69"/>
      <c r="P112" s="69"/>
      <c r="Q112" s="69"/>
      <c r="R112" s="69"/>
      <c r="S112" s="69"/>
      <c r="T112" s="69"/>
      <c r="U112" s="69"/>
      <c r="V112" s="69"/>
      <c r="W112" s="69"/>
      <c r="X112" s="69"/>
      <c r="Y112" s="69"/>
      <c r="Z112" s="69"/>
      <c r="AA112" s="69"/>
      <c r="AB112" s="69"/>
      <c r="AC112" s="69"/>
      <c r="AD112" s="69"/>
    </row>
    <row r="113" spans="1:30" s="96" customFormat="1" ht="18" customHeight="1">
      <c r="A113" s="88">
        <v>7</v>
      </c>
      <c r="B113" s="89" t="s">
        <v>99</v>
      </c>
      <c r="C113" s="90"/>
      <c r="D113" s="91"/>
      <c r="E113" s="91"/>
      <c r="F113" s="91"/>
      <c r="G113" s="139"/>
      <c r="H113" s="91">
        <f>H114+H119+H120+H124+H125</f>
        <v>666650.44360499992</v>
      </c>
      <c r="I113" s="91">
        <f>J113+K113</f>
        <v>606118</v>
      </c>
      <c r="J113" s="93">
        <f>J114+J119+J120+J124+J125+J126</f>
        <v>51683</v>
      </c>
      <c r="K113" s="93">
        <f>K114+K119+K120+K124+K125+K126</f>
        <v>554435</v>
      </c>
      <c r="L113" s="95"/>
      <c r="M113" s="95"/>
      <c r="N113" s="95"/>
      <c r="O113" s="95"/>
      <c r="P113" s="95"/>
      <c r="Q113" s="95"/>
      <c r="R113" s="95"/>
      <c r="S113" s="95"/>
      <c r="T113" s="95"/>
      <c r="U113" s="95"/>
      <c r="V113" s="95"/>
      <c r="W113" s="95"/>
      <c r="X113" s="95"/>
      <c r="Y113" s="95"/>
      <c r="Z113" s="95"/>
      <c r="AA113" s="95"/>
      <c r="AB113" s="95"/>
      <c r="AC113" s="95"/>
      <c r="AD113" s="95"/>
    </row>
    <row r="114" spans="1:30" s="100" customFormat="1" ht="18" customHeight="1">
      <c r="A114" s="101" t="s">
        <v>100</v>
      </c>
      <c r="B114" s="102" t="s">
        <v>62</v>
      </c>
      <c r="C114" s="90"/>
      <c r="D114" s="97"/>
      <c r="E114" s="103">
        <v>1497478</v>
      </c>
      <c r="F114" s="103">
        <v>1497478</v>
      </c>
      <c r="G114" s="143"/>
      <c r="H114" s="103">
        <f>SUM(H115:H118)</f>
        <v>77195.462804999988</v>
      </c>
      <c r="I114" s="91">
        <f t="shared" si="1"/>
        <v>55810</v>
      </c>
      <c r="J114" s="91">
        <f>51683-11004</f>
        <v>40679</v>
      </c>
      <c r="K114" s="93">
        <v>15131</v>
      </c>
      <c r="L114" s="99"/>
      <c r="M114" s="99"/>
      <c r="N114" s="99"/>
      <c r="O114" s="99"/>
      <c r="P114" s="99"/>
      <c r="Q114" s="99"/>
      <c r="R114" s="99"/>
      <c r="S114" s="99"/>
      <c r="T114" s="99"/>
      <c r="U114" s="99"/>
      <c r="V114" s="99"/>
      <c r="W114" s="99"/>
      <c r="X114" s="99"/>
      <c r="Y114" s="99"/>
      <c r="Z114" s="99"/>
      <c r="AA114" s="99"/>
      <c r="AB114" s="99"/>
      <c r="AC114" s="99"/>
      <c r="AD114" s="99"/>
    </row>
    <row r="115" spans="1:30" ht="18" customHeight="1">
      <c r="A115" s="107"/>
      <c r="B115" s="108" t="s">
        <v>48</v>
      </c>
      <c r="C115" s="90" t="s">
        <v>49</v>
      </c>
      <c r="D115" s="109"/>
      <c r="E115" s="109">
        <v>193322</v>
      </c>
      <c r="F115" s="109">
        <v>193322</v>
      </c>
      <c r="G115" s="122">
        <v>31000</v>
      </c>
      <c r="H115" s="109">
        <f>F115*G115*(1+$G$180)/1000000</f>
        <v>8090.5257000000011</v>
      </c>
      <c r="I115" s="91">
        <f t="shared" si="1"/>
        <v>0</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50</v>
      </c>
      <c r="C116" s="90" t="s">
        <v>49</v>
      </c>
      <c r="D116" s="109"/>
      <c r="E116" s="109">
        <v>861050</v>
      </c>
      <c r="F116" s="109">
        <v>861050</v>
      </c>
      <c r="G116" s="122">
        <v>33700</v>
      </c>
      <c r="H116" s="109">
        <f>F116*G116*(1+$G$180)/1000000</f>
        <v>39173.469749999997</v>
      </c>
      <c r="I116" s="91">
        <f t="shared" si="1"/>
        <v>0</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51</v>
      </c>
      <c r="C117" s="90" t="s">
        <v>49</v>
      </c>
      <c r="D117" s="109"/>
      <c r="E117" s="109">
        <v>318665</v>
      </c>
      <c r="F117" s="109">
        <v>318665</v>
      </c>
      <c r="G117" s="122">
        <v>47200</v>
      </c>
      <c r="H117" s="109">
        <f>F117*G117*(1+$G$180)/1000000</f>
        <v>20305.3338</v>
      </c>
      <c r="I117" s="91">
        <f t="shared" si="1"/>
        <v>0</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ht="18" customHeight="1">
      <c r="A118" s="107"/>
      <c r="B118" s="108" t="s">
        <v>52</v>
      </c>
      <c r="C118" s="90" t="s">
        <v>49</v>
      </c>
      <c r="D118" s="109"/>
      <c r="E118" s="109">
        <v>124441</v>
      </c>
      <c r="F118" s="109">
        <v>124441</v>
      </c>
      <c r="G118" s="122">
        <v>57300</v>
      </c>
      <c r="H118" s="109">
        <f>F118*G118*(1+$G$180)/1000000</f>
        <v>9626.1335550000003</v>
      </c>
      <c r="I118" s="91">
        <f t="shared" si="1"/>
        <v>0</v>
      </c>
      <c r="J118" s="103"/>
      <c r="K118" s="104"/>
      <c r="L118" s="69"/>
      <c r="M118" s="69"/>
      <c r="N118" s="69"/>
      <c r="O118" s="69"/>
      <c r="P118" s="69"/>
      <c r="Q118" s="69"/>
      <c r="R118" s="69"/>
      <c r="S118" s="69"/>
      <c r="T118" s="69"/>
      <c r="U118" s="69"/>
      <c r="V118" s="69"/>
      <c r="W118" s="69"/>
      <c r="X118" s="69"/>
      <c r="Y118" s="69"/>
      <c r="Z118" s="69"/>
      <c r="AA118" s="69"/>
      <c r="AB118" s="69"/>
      <c r="AC118" s="69"/>
      <c r="AD118" s="69"/>
    </row>
    <row r="119" spans="1:30" s="100" customFormat="1" ht="20.25" customHeight="1">
      <c r="A119" s="101" t="s">
        <v>101</v>
      </c>
      <c r="B119" s="121" t="s">
        <v>102</v>
      </c>
      <c r="C119" s="90" t="s">
        <v>103</v>
      </c>
      <c r="D119" s="97"/>
      <c r="E119" s="288">
        <v>99762</v>
      </c>
      <c r="F119" s="109">
        <v>99762</v>
      </c>
      <c r="G119" s="122">
        <v>500000</v>
      </c>
      <c r="H119" s="103">
        <f>F119*G119/1000000</f>
        <v>49881</v>
      </c>
      <c r="I119" s="91">
        <f t="shared" si="1"/>
        <v>50845</v>
      </c>
      <c r="J119" s="91"/>
      <c r="K119" s="93">
        <f>32520+18325</f>
        <v>50845</v>
      </c>
      <c r="L119" s="99"/>
      <c r="M119" s="99"/>
      <c r="N119" s="99"/>
      <c r="O119" s="99"/>
      <c r="P119" s="99"/>
      <c r="Q119" s="99"/>
      <c r="R119" s="99"/>
      <c r="S119" s="99"/>
      <c r="T119" s="99"/>
      <c r="U119" s="99"/>
      <c r="V119" s="99"/>
      <c r="W119" s="99"/>
      <c r="X119" s="99"/>
      <c r="Y119" s="99"/>
      <c r="Z119" s="99"/>
      <c r="AA119" s="99"/>
      <c r="AB119" s="99"/>
      <c r="AC119" s="99"/>
      <c r="AD119" s="99"/>
    </row>
    <row r="120" spans="1:30" s="100" customFormat="1" ht="33" customHeight="1">
      <c r="A120" s="101" t="s">
        <v>104</v>
      </c>
      <c r="B120" s="111" t="s">
        <v>105</v>
      </c>
      <c r="C120" s="90"/>
      <c r="D120" s="97"/>
      <c r="E120" s="103">
        <v>4632</v>
      </c>
      <c r="F120" s="103">
        <v>4632</v>
      </c>
      <c r="G120" s="109"/>
      <c r="H120" s="292">
        <v>90698.980800000005</v>
      </c>
      <c r="I120" s="91">
        <f t="shared" si="1"/>
        <v>57648</v>
      </c>
      <c r="J120" s="91"/>
      <c r="K120" s="93">
        <v>57648</v>
      </c>
      <c r="L120" s="99"/>
      <c r="M120" s="99"/>
      <c r="N120" s="99"/>
      <c r="O120" s="99"/>
      <c r="P120" s="99"/>
      <c r="Q120" s="99"/>
      <c r="R120" s="99"/>
      <c r="S120" s="99"/>
      <c r="T120" s="99"/>
      <c r="U120" s="99"/>
      <c r="V120" s="99"/>
      <c r="W120" s="99"/>
      <c r="X120" s="99"/>
      <c r="Y120" s="99"/>
      <c r="Z120" s="99"/>
      <c r="AA120" s="99"/>
      <c r="AB120" s="99"/>
      <c r="AC120" s="99"/>
      <c r="AD120" s="99"/>
    </row>
    <row r="121" spans="1:30" s="100" customFormat="1" ht="17.25" customHeight="1">
      <c r="A121" s="101"/>
      <c r="B121" s="144" t="s">
        <v>106</v>
      </c>
      <c r="C121" s="90"/>
      <c r="D121" s="97"/>
      <c r="E121" s="112">
        <v>498</v>
      </c>
      <c r="F121" s="112">
        <v>498</v>
      </c>
      <c r="G121" s="145"/>
      <c r="H121" s="112"/>
      <c r="I121" s="91">
        <f t="shared" si="1"/>
        <v>0</v>
      </c>
      <c r="J121" s="91"/>
      <c r="K121" s="93"/>
      <c r="L121" s="99"/>
      <c r="M121" s="99"/>
      <c r="N121" s="99"/>
      <c r="O121" s="99"/>
      <c r="P121" s="99"/>
      <c r="Q121" s="99"/>
      <c r="R121" s="99"/>
      <c r="S121" s="99"/>
      <c r="T121" s="99"/>
      <c r="U121" s="99"/>
      <c r="V121" s="99"/>
      <c r="W121" s="99"/>
      <c r="X121" s="99"/>
      <c r="Y121" s="99"/>
      <c r="Z121" s="99"/>
      <c r="AA121" s="99"/>
      <c r="AB121" s="99"/>
      <c r="AC121" s="99"/>
      <c r="AD121" s="99"/>
    </row>
    <row r="122" spans="1:30" s="100" customFormat="1" ht="46.5" customHeight="1">
      <c r="A122" s="101"/>
      <c r="B122" s="146" t="s">
        <v>107</v>
      </c>
      <c r="C122" s="90"/>
      <c r="D122" s="97"/>
      <c r="E122" s="112">
        <v>745</v>
      </c>
      <c r="F122" s="112">
        <v>745</v>
      </c>
      <c r="G122" s="97"/>
      <c r="H122" s="112"/>
      <c r="I122" s="91">
        <f t="shared" si="1"/>
        <v>0</v>
      </c>
      <c r="J122" s="91"/>
      <c r="K122" s="93"/>
      <c r="L122" s="99"/>
      <c r="M122" s="99"/>
      <c r="N122" s="99"/>
      <c r="O122" s="99"/>
      <c r="P122" s="99"/>
      <c r="Q122" s="99"/>
      <c r="R122" s="99"/>
      <c r="S122" s="99"/>
      <c r="T122" s="99"/>
      <c r="U122" s="99"/>
      <c r="V122" s="99"/>
      <c r="W122" s="99"/>
      <c r="X122" s="99"/>
      <c r="Y122" s="99"/>
      <c r="Z122" s="99"/>
      <c r="AA122" s="99"/>
      <c r="AB122" s="99"/>
      <c r="AC122" s="99"/>
      <c r="AD122" s="99"/>
    </row>
    <row r="123" spans="1:30" s="100" customFormat="1" ht="17.25" customHeight="1">
      <c r="A123" s="101"/>
      <c r="B123" s="144" t="s">
        <v>108</v>
      </c>
      <c r="C123" s="90"/>
      <c r="D123" s="97"/>
      <c r="E123" s="112">
        <v>3389</v>
      </c>
      <c r="F123" s="112">
        <v>3389</v>
      </c>
      <c r="G123" s="145"/>
      <c r="H123" s="112"/>
      <c r="I123" s="91">
        <f t="shared" si="1"/>
        <v>0</v>
      </c>
      <c r="J123" s="91"/>
      <c r="K123" s="93"/>
      <c r="L123" s="99"/>
      <c r="M123" s="99"/>
      <c r="N123" s="99"/>
      <c r="O123" s="99"/>
      <c r="P123" s="99"/>
      <c r="Q123" s="99"/>
      <c r="R123" s="99"/>
      <c r="S123" s="99"/>
      <c r="T123" s="99"/>
      <c r="U123" s="99"/>
      <c r="V123" s="99"/>
      <c r="W123" s="99"/>
      <c r="X123" s="99"/>
      <c r="Y123" s="99"/>
      <c r="Z123" s="99"/>
      <c r="AA123" s="99"/>
      <c r="AB123" s="99"/>
      <c r="AC123" s="99"/>
      <c r="AD123" s="99"/>
    </row>
    <row r="124" spans="1:30" s="100" customFormat="1" ht="32.25" customHeight="1">
      <c r="A124" s="101" t="s">
        <v>109</v>
      </c>
      <c r="B124" s="212" t="s">
        <v>222</v>
      </c>
      <c r="C124" s="90"/>
      <c r="D124" s="97"/>
      <c r="E124" s="112">
        <v>94618</v>
      </c>
      <c r="F124" s="112">
        <v>94618</v>
      </c>
      <c r="G124" s="145"/>
      <c r="H124" s="103">
        <v>430988</v>
      </c>
      <c r="I124" s="91">
        <f t="shared" si="1"/>
        <v>424012</v>
      </c>
      <c r="J124" s="91">
        <v>11004</v>
      </c>
      <c r="K124" s="93">
        <v>413008</v>
      </c>
      <c r="L124" s="99"/>
      <c r="M124" s="99"/>
      <c r="N124" s="99"/>
      <c r="O124" s="99"/>
      <c r="P124" s="99"/>
      <c r="Q124" s="99"/>
      <c r="R124" s="99"/>
      <c r="S124" s="99"/>
      <c r="T124" s="99"/>
      <c r="U124" s="99"/>
      <c r="V124" s="99"/>
      <c r="W124" s="99"/>
      <c r="X124" s="99"/>
      <c r="Y124" s="99"/>
      <c r="Z124" s="99"/>
      <c r="AA124" s="99"/>
      <c r="AB124" s="99"/>
      <c r="AC124" s="99"/>
      <c r="AD124" s="99"/>
    </row>
    <row r="125" spans="1:30" s="100" customFormat="1" ht="17.25" customHeight="1">
      <c r="A125" s="101" t="s">
        <v>181</v>
      </c>
      <c r="B125" s="147" t="s">
        <v>182</v>
      </c>
      <c r="C125" s="90"/>
      <c r="D125" s="97"/>
      <c r="E125" s="112"/>
      <c r="F125" s="112"/>
      <c r="G125" s="145"/>
      <c r="H125" s="103">
        <v>17887</v>
      </c>
      <c r="I125" s="91">
        <f t="shared" si="1"/>
        <v>15315</v>
      </c>
      <c r="J125" s="91"/>
      <c r="K125" s="93">
        <v>15315</v>
      </c>
      <c r="L125" s="99"/>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101" t="s">
        <v>361</v>
      </c>
      <c r="B126" s="147" t="s">
        <v>362</v>
      </c>
      <c r="C126" s="90"/>
      <c r="D126" s="97"/>
      <c r="E126" s="112"/>
      <c r="F126" s="112"/>
      <c r="G126" s="145"/>
      <c r="H126" s="103"/>
      <c r="I126" s="91">
        <f t="shared" si="1"/>
        <v>2488</v>
      </c>
      <c r="J126" s="337"/>
      <c r="K126" s="93">
        <v>2488</v>
      </c>
      <c r="L126" s="99"/>
      <c r="M126" s="99"/>
      <c r="N126" s="99"/>
      <c r="O126" s="99"/>
      <c r="P126" s="99"/>
      <c r="Q126" s="99"/>
      <c r="R126" s="99"/>
      <c r="S126" s="99"/>
      <c r="T126" s="99"/>
      <c r="U126" s="99"/>
      <c r="V126" s="99"/>
      <c r="W126" s="99"/>
      <c r="X126" s="99"/>
      <c r="Y126" s="99"/>
      <c r="Z126" s="99"/>
      <c r="AA126" s="99"/>
      <c r="AB126" s="99"/>
      <c r="AC126" s="99"/>
      <c r="AD126" s="99"/>
    </row>
    <row r="127" spans="1:30" s="96" customFormat="1" ht="18" customHeight="1">
      <c r="A127" s="88">
        <v>8</v>
      </c>
      <c r="B127" s="89" t="s">
        <v>110</v>
      </c>
      <c r="C127" s="90"/>
      <c r="D127" s="91"/>
      <c r="E127" s="91"/>
      <c r="F127" s="91"/>
      <c r="G127" s="90"/>
      <c r="H127" s="91">
        <f>H128+H133</f>
        <v>87892.494095000002</v>
      </c>
      <c r="I127" s="91">
        <f>J127+K127</f>
        <v>139542</v>
      </c>
      <c r="J127" s="93">
        <f>J128+J133+J136</f>
        <v>42505</v>
      </c>
      <c r="K127" s="93">
        <f>K128+K133+K136</f>
        <v>97037</v>
      </c>
      <c r="L127" s="95"/>
      <c r="M127" s="95"/>
      <c r="N127" s="95"/>
      <c r="O127" s="95"/>
      <c r="P127" s="95"/>
      <c r="Q127" s="95"/>
      <c r="R127" s="95"/>
      <c r="S127" s="95"/>
      <c r="T127" s="95"/>
      <c r="U127" s="95"/>
      <c r="V127" s="95"/>
      <c r="W127" s="95"/>
      <c r="X127" s="95"/>
      <c r="Y127" s="95"/>
      <c r="Z127" s="95"/>
      <c r="AA127" s="95"/>
      <c r="AB127" s="95"/>
      <c r="AC127" s="95"/>
      <c r="AD127" s="95"/>
    </row>
    <row r="128" spans="1:30" s="96" customFormat="1" ht="18" customHeight="1">
      <c r="A128" s="101" t="s">
        <v>111</v>
      </c>
      <c r="B128" s="102" t="s">
        <v>87</v>
      </c>
      <c r="C128" s="90"/>
      <c r="D128" s="91"/>
      <c r="E128" s="103">
        <v>1497478</v>
      </c>
      <c r="F128" s="103">
        <v>1497478</v>
      </c>
      <c r="G128" s="90"/>
      <c r="H128" s="103">
        <f>SUM(H129:H132)</f>
        <v>75092.494095000002</v>
      </c>
      <c r="I128" s="91">
        <f>J128+K128</f>
        <v>60767</v>
      </c>
      <c r="J128" s="91">
        <f>6100+35686+719</f>
        <v>42505</v>
      </c>
      <c r="K128" s="93">
        <v>18262</v>
      </c>
      <c r="L128" s="95"/>
      <c r="M128" s="95"/>
      <c r="N128" s="95"/>
      <c r="O128" s="95"/>
      <c r="P128" s="95"/>
      <c r="Q128" s="95"/>
      <c r="R128" s="95"/>
      <c r="S128" s="95"/>
      <c r="T128" s="95"/>
      <c r="U128" s="95"/>
      <c r="V128" s="95"/>
      <c r="W128" s="95"/>
      <c r="X128" s="95"/>
      <c r="Y128" s="95"/>
      <c r="Z128" s="95"/>
      <c r="AA128" s="95"/>
      <c r="AB128" s="95"/>
      <c r="AC128" s="95"/>
      <c r="AD128" s="95"/>
    </row>
    <row r="129" spans="1:30" ht="18" customHeight="1">
      <c r="A129" s="107"/>
      <c r="B129" s="108" t="s">
        <v>48</v>
      </c>
      <c r="C129" s="90" t="s">
        <v>49</v>
      </c>
      <c r="D129" s="109"/>
      <c r="E129" s="109">
        <v>193322</v>
      </c>
      <c r="F129" s="109">
        <v>193322</v>
      </c>
      <c r="G129" s="122">
        <v>31800</v>
      </c>
      <c r="H129" s="109">
        <f>F129*G129*(1+$G$180)/1000000</f>
        <v>8299.3134600000012</v>
      </c>
      <c r="I129" s="91">
        <f t="shared" si="1"/>
        <v>0</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50</v>
      </c>
      <c r="C130" s="90" t="s">
        <v>49</v>
      </c>
      <c r="D130" s="109"/>
      <c r="E130" s="109">
        <v>861050</v>
      </c>
      <c r="F130" s="109">
        <v>861050</v>
      </c>
      <c r="G130" s="122">
        <v>31800</v>
      </c>
      <c r="H130" s="109">
        <f>F130*G130*(1+$G$180)/1000000</f>
        <v>36964.876499999998</v>
      </c>
      <c r="I130" s="91">
        <f t="shared" si="1"/>
        <v>0</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 customHeight="1">
      <c r="A131" s="107"/>
      <c r="B131" s="108" t="s">
        <v>51</v>
      </c>
      <c r="C131" s="90" t="s">
        <v>49</v>
      </c>
      <c r="D131" s="109"/>
      <c r="E131" s="109">
        <v>318665</v>
      </c>
      <c r="F131" s="109">
        <v>318665</v>
      </c>
      <c r="G131" s="122">
        <v>44500</v>
      </c>
      <c r="H131" s="109">
        <f>F131*G131*(1+$G$180)/1000000</f>
        <v>19143.799875000001</v>
      </c>
      <c r="I131" s="91">
        <f t="shared" si="1"/>
        <v>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7"/>
      <c r="B132" s="108" t="s">
        <v>52</v>
      </c>
      <c r="C132" s="90" t="s">
        <v>49</v>
      </c>
      <c r="D132" s="109"/>
      <c r="E132" s="109">
        <v>124441</v>
      </c>
      <c r="F132" s="109">
        <v>124441</v>
      </c>
      <c r="G132" s="122">
        <v>63600</v>
      </c>
      <c r="H132" s="109">
        <f>F132*G132*(1+$G$180)/1000000</f>
        <v>10684.50426</v>
      </c>
      <c r="I132" s="91">
        <f t="shared" si="1"/>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18.75" customHeight="1">
      <c r="A133" s="101" t="s">
        <v>112</v>
      </c>
      <c r="B133" s="102" t="s">
        <v>113</v>
      </c>
      <c r="C133" s="90"/>
      <c r="D133" s="109"/>
      <c r="E133" s="103">
        <v>16</v>
      </c>
      <c r="F133" s="103">
        <v>16</v>
      </c>
      <c r="G133" s="148"/>
      <c r="H133" s="103">
        <f>H135</f>
        <v>12800</v>
      </c>
      <c r="I133" s="91">
        <f t="shared" si="1"/>
        <v>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ht="18" customHeight="1">
      <c r="A134" s="101"/>
      <c r="B134" s="128" t="s">
        <v>114</v>
      </c>
      <c r="C134" s="90" t="s">
        <v>71</v>
      </c>
      <c r="D134" s="109"/>
      <c r="E134" s="109"/>
      <c r="F134" s="109"/>
      <c r="G134" s="122">
        <v>4000</v>
      </c>
      <c r="H134" s="109">
        <v>0</v>
      </c>
      <c r="I134" s="91">
        <f t="shared" si="1"/>
        <v>0</v>
      </c>
      <c r="J134" s="109"/>
      <c r="K134" s="110"/>
      <c r="L134" s="69"/>
      <c r="M134" s="69"/>
      <c r="N134" s="69"/>
      <c r="O134" s="69"/>
      <c r="P134" s="69"/>
      <c r="Q134" s="69"/>
      <c r="R134" s="69"/>
      <c r="S134" s="69"/>
      <c r="T134" s="69"/>
      <c r="U134" s="69"/>
      <c r="V134" s="69"/>
      <c r="W134" s="69"/>
      <c r="X134" s="69"/>
      <c r="Y134" s="69"/>
      <c r="Z134" s="69"/>
      <c r="AA134" s="69"/>
      <c r="AB134" s="69"/>
      <c r="AC134" s="69"/>
      <c r="AD134" s="69"/>
    </row>
    <row r="135" spans="1:30" ht="31.9" customHeight="1">
      <c r="A135" s="101"/>
      <c r="B135" s="128" t="s">
        <v>340</v>
      </c>
      <c r="C135" s="90" t="s">
        <v>71</v>
      </c>
      <c r="D135" s="109"/>
      <c r="E135" s="109">
        <v>16</v>
      </c>
      <c r="F135" s="109">
        <v>16</v>
      </c>
      <c r="G135" s="122">
        <v>800</v>
      </c>
      <c r="H135" s="109">
        <f>F135*G135</f>
        <v>12800</v>
      </c>
      <c r="I135" s="91">
        <f t="shared" si="1"/>
        <v>0</v>
      </c>
      <c r="J135" s="109"/>
      <c r="K135" s="110"/>
      <c r="L135" s="69"/>
      <c r="M135" s="69"/>
      <c r="N135" s="69"/>
      <c r="O135" s="69"/>
      <c r="P135" s="69"/>
      <c r="Q135" s="69"/>
      <c r="R135" s="69"/>
      <c r="S135" s="69"/>
      <c r="T135" s="69"/>
      <c r="U135" s="69"/>
      <c r="V135" s="69"/>
      <c r="W135" s="69"/>
      <c r="X135" s="69"/>
      <c r="Y135" s="69"/>
      <c r="Z135" s="69"/>
      <c r="AA135" s="69"/>
      <c r="AB135" s="69"/>
      <c r="AC135" s="69"/>
      <c r="AD135" s="69"/>
    </row>
    <row r="136" spans="1:30" s="106" customFormat="1" ht="15.75">
      <c r="A136" s="101" t="s">
        <v>358</v>
      </c>
      <c r="B136" s="102" t="s">
        <v>357</v>
      </c>
      <c r="C136" s="124"/>
      <c r="D136" s="103"/>
      <c r="E136" s="103"/>
      <c r="F136" s="103"/>
      <c r="G136" s="283"/>
      <c r="H136" s="103"/>
      <c r="I136" s="91">
        <f>J136+K136</f>
        <v>78775</v>
      </c>
      <c r="J136" s="103"/>
      <c r="K136" s="336">
        <v>78775</v>
      </c>
      <c r="L136" s="105"/>
      <c r="M136" s="105"/>
      <c r="N136" s="105"/>
      <c r="O136" s="105"/>
      <c r="P136" s="105"/>
      <c r="Q136" s="105"/>
      <c r="R136" s="105"/>
      <c r="S136" s="105"/>
      <c r="T136" s="105"/>
      <c r="U136" s="105"/>
      <c r="V136" s="105"/>
      <c r="W136" s="105"/>
      <c r="X136" s="105"/>
      <c r="Y136" s="105"/>
      <c r="Z136" s="105"/>
      <c r="AA136" s="105"/>
      <c r="AB136" s="105"/>
      <c r="AC136" s="105"/>
      <c r="AD136" s="105"/>
    </row>
    <row r="137" spans="1:30" s="96" customFormat="1" ht="18" customHeight="1">
      <c r="A137" s="88">
        <v>9</v>
      </c>
      <c r="B137" s="89" t="s">
        <v>19</v>
      </c>
      <c r="C137" s="90"/>
      <c r="D137" s="91"/>
      <c r="E137" s="91"/>
      <c r="F137" s="91"/>
      <c r="G137" s="139"/>
      <c r="H137" s="91">
        <f>H138+H143+H146</f>
        <v>43330.771275000006</v>
      </c>
      <c r="I137" s="91">
        <f t="shared" si="1"/>
        <v>51317</v>
      </c>
      <c r="J137" s="91">
        <f>J138+J143+J146</f>
        <v>9157</v>
      </c>
      <c r="K137" s="91">
        <f>K138+K143+K146</f>
        <v>42160</v>
      </c>
      <c r="L137" s="95"/>
      <c r="M137" s="95"/>
      <c r="N137" s="95"/>
      <c r="O137" s="95"/>
      <c r="P137" s="95"/>
      <c r="Q137" s="95"/>
      <c r="R137" s="95"/>
      <c r="S137" s="95"/>
      <c r="T137" s="95"/>
      <c r="U137" s="95"/>
      <c r="V137" s="95"/>
      <c r="W137" s="95"/>
      <c r="X137" s="95"/>
      <c r="Y137" s="95"/>
      <c r="Z137" s="95"/>
      <c r="AA137" s="95"/>
      <c r="AB137" s="95"/>
      <c r="AC137" s="95"/>
      <c r="AD137" s="95"/>
    </row>
    <row r="138" spans="1:30" s="96" customFormat="1" ht="18" customHeight="1">
      <c r="A138" s="101" t="s">
        <v>115</v>
      </c>
      <c r="B138" s="102" t="s">
        <v>87</v>
      </c>
      <c r="C138" s="90"/>
      <c r="D138" s="91"/>
      <c r="E138" s="103">
        <v>1497478</v>
      </c>
      <c r="F138" s="103">
        <v>1497478</v>
      </c>
      <c r="G138" s="139"/>
      <c r="H138" s="103">
        <f>SUM(H139:H142)</f>
        <v>33730.771275000006</v>
      </c>
      <c r="I138" s="91">
        <f t="shared" si="1"/>
        <v>28239</v>
      </c>
      <c r="J138" s="91">
        <v>9157</v>
      </c>
      <c r="K138" s="93">
        <v>19082</v>
      </c>
      <c r="L138" s="95"/>
      <c r="M138" s="95"/>
      <c r="N138" s="95"/>
      <c r="O138" s="95"/>
      <c r="P138" s="95"/>
      <c r="Q138" s="95"/>
      <c r="R138" s="95"/>
      <c r="S138" s="95"/>
      <c r="T138" s="95"/>
      <c r="U138" s="95"/>
      <c r="V138" s="95"/>
      <c r="W138" s="95"/>
      <c r="X138" s="95"/>
      <c r="Y138" s="95"/>
      <c r="Z138" s="95"/>
      <c r="AA138" s="95"/>
      <c r="AB138" s="95"/>
      <c r="AC138" s="95"/>
      <c r="AD138" s="95"/>
    </row>
    <row r="139" spans="1:30" ht="18" customHeight="1">
      <c r="A139" s="107"/>
      <c r="B139" s="108" t="s">
        <v>48</v>
      </c>
      <c r="C139" s="90" t="s">
        <v>49</v>
      </c>
      <c r="D139" s="109"/>
      <c r="E139" s="109">
        <v>193322</v>
      </c>
      <c r="F139" s="109">
        <v>193322</v>
      </c>
      <c r="G139" s="122">
        <v>18200</v>
      </c>
      <c r="H139" s="109">
        <f>F139*G139*(1+$G$180)/1000000</f>
        <v>4749.9215400000003</v>
      </c>
      <c r="I139" s="91">
        <f t="shared" si="1"/>
        <v>0</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8" customHeight="1">
      <c r="A140" s="107"/>
      <c r="B140" s="108" t="s">
        <v>50</v>
      </c>
      <c r="C140" s="90" t="s">
        <v>49</v>
      </c>
      <c r="D140" s="109"/>
      <c r="E140" s="109">
        <v>861050</v>
      </c>
      <c r="F140" s="109">
        <v>861050</v>
      </c>
      <c r="G140" s="122">
        <v>13800</v>
      </c>
      <c r="H140" s="109">
        <f>F140*G140*(1+$G$180)/1000000</f>
        <v>16041.361500000003</v>
      </c>
      <c r="I140" s="91">
        <f t="shared" si="1"/>
        <v>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7"/>
      <c r="B141" s="108" t="s">
        <v>51</v>
      </c>
      <c r="C141" s="90" t="s">
        <v>49</v>
      </c>
      <c r="D141" s="109"/>
      <c r="E141" s="109">
        <v>318665</v>
      </c>
      <c r="F141" s="109">
        <v>318665</v>
      </c>
      <c r="G141" s="122">
        <v>19300</v>
      </c>
      <c r="H141" s="109">
        <f>F141*G141*(1+$G$180)/1000000</f>
        <v>8302.8165750000007</v>
      </c>
      <c r="I141" s="91">
        <f t="shared" si="1"/>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18" customHeight="1">
      <c r="A142" s="107"/>
      <c r="B142" s="108" t="s">
        <v>52</v>
      </c>
      <c r="C142" s="90" t="s">
        <v>49</v>
      </c>
      <c r="D142" s="109"/>
      <c r="E142" s="109">
        <v>124441</v>
      </c>
      <c r="F142" s="109">
        <v>124441</v>
      </c>
      <c r="G142" s="122">
        <v>27600</v>
      </c>
      <c r="H142" s="109">
        <f>F142*G142*(1+$G$180)/1000000</f>
        <v>4636.67166</v>
      </c>
      <c r="I142" s="91">
        <f t="shared" ref="I142:I176" si="2">J142+K142</f>
        <v>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ht="17.25" customHeight="1">
      <c r="A143" s="101" t="s">
        <v>116</v>
      </c>
      <c r="B143" s="102" t="s">
        <v>113</v>
      </c>
      <c r="C143" s="90"/>
      <c r="D143" s="109"/>
      <c r="E143" s="109"/>
      <c r="F143" s="109"/>
      <c r="G143" s="148"/>
      <c r="H143" s="103">
        <f>H145</f>
        <v>9600</v>
      </c>
      <c r="I143" s="91">
        <f t="shared" si="1"/>
        <v>0</v>
      </c>
      <c r="J143" s="109"/>
      <c r="K143" s="110"/>
      <c r="L143" s="69"/>
      <c r="M143" s="69"/>
      <c r="N143" s="69"/>
      <c r="O143" s="69"/>
      <c r="P143" s="69"/>
      <c r="Q143" s="69"/>
      <c r="R143" s="69"/>
      <c r="S143" s="69"/>
      <c r="T143" s="69"/>
      <c r="U143" s="69"/>
      <c r="V143" s="69"/>
      <c r="W143" s="69"/>
      <c r="X143" s="69"/>
      <c r="Y143" s="69"/>
      <c r="Z143" s="69"/>
      <c r="AA143" s="69"/>
      <c r="AB143" s="69"/>
      <c r="AC143" s="69"/>
      <c r="AD143" s="69"/>
    </row>
    <row r="144" spans="1:30" ht="18" customHeight="1">
      <c r="A144" s="101"/>
      <c r="B144" s="128" t="s">
        <v>114</v>
      </c>
      <c r="C144" s="90" t="s">
        <v>71</v>
      </c>
      <c r="D144" s="109"/>
      <c r="E144" s="109"/>
      <c r="F144" s="109"/>
      <c r="G144" s="122">
        <v>1600</v>
      </c>
      <c r="H144" s="109">
        <v>0</v>
      </c>
      <c r="I144" s="91">
        <f t="shared" si="2"/>
        <v>0</v>
      </c>
      <c r="J144" s="109"/>
      <c r="K144" s="110"/>
      <c r="L144" s="69"/>
      <c r="M144" s="69"/>
      <c r="N144" s="69"/>
      <c r="O144" s="69"/>
      <c r="P144" s="69"/>
      <c r="Q144" s="69"/>
      <c r="R144" s="69"/>
      <c r="S144" s="69"/>
      <c r="T144" s="69"/>
      <c r="U144" s="69"/>
      <c r="V144" s="69"/>
      <c r="W144" s="69"/>
      <c r="X144" s="69"/>
      <c r="Y144" s="69"/>
      <c r="Z144" s="69"/>
      <c r="AA144" s="69"/>
      <c r="AB144" s="69"/>
      <c r="AC144" s="69"/>
      <c r="AD144" s="69"/>
    </row>
    <row r="145" spans="1:30" ht="31.5">
      <c r="A145" s="101"/>
      <c r="B145" s="128" t="s">
        <v>340</v>
      </c>
      <c r="C145" s="90" t="s">
        <v>71</v>
      </c>
      <c r="D145" s="109"/>
      <c r="E145" s="109">
        <v>16</v>
      </c>
      <c r="F145" s="109">
        <v>16</v>
      </c>
      <c r="G145" s="122">
        <v>600</v>
      </c>
      <c r="H145" s="109">
        <f>F145*G145</f>
        <v>9600</v>
      </c>
      <c r="I145" s="91">
        <f t="shared" si="2"/>
        <v>0</v>
      </c>
      <c r="J145" s="109"/>
      <c r="K145" s="110"/>
      <c r="L145" s="69"/>
      <c r="M145" s="69"/>
      <c r="N145" s="69"/>
      <c r="O145" s="69"/>
      <c r="P145" s="69"/>
      <c r="Q145" s="69"/>
      <c r="R145" s="69"/>
      <c r="S145" s="69"/>
      <c r="T145" s="69"/>
      <c r="U145" s="69"/>
      <c r="V145" s="69"/>
      <c r="W145" s="69"/>
      <c r="X145" s="69"/>
      <c r="Y145" s="69"/>
      <c r="Z145" s="69"/>
      <c r="AA145" s="69"/>
      <c r="AB145" s="69"/>
      <c r="AC145" s="69"/>
      <c r="AD145" s="69"/>
    </row>
    <row r="146" spans="1:30" ht="17.25" customHeight="1">
      <c r="A146" s="101" t="s">
        <v>356</v>
      </c>
      <c r="B146" s="102" t="s">
        <v>357</v>
      </c>
      <c r="C146" s="90"/>
      <c r="D146" s="109"/>
      <c r="E146" s="109"/>
      <c r="F146" s="109"/>
      <c r="G146" s="148"/>
      <c r="H146" s="103"/>
      <c r="I146" s="91">
        <f t="shared" si="2"/>
        <v>23078</v>
      </c>
      <c r="J146" s="103"/>
      <c r="K146" s="104">
        <v>23078</v>
      </c>
      <c r="L146" s="69"/>
      <c r="M146" s="69"/>
      <c r="N146" s="69"/>
      <c r="O146" s="69"/>
      <c r="P146" s="69"/>
      <c r="Q146" s="69"/>
      <c r="R146" s="69"/>
      <c r="S146" s="69"/>
      <c r="T146" s="69"/>
      <c r="U146" s="69"/>
      <c r="V146" s="69"/>
      <c r="W146" s="69"/>
      <c r="X146" s="69"/>
      <c r="Y146" s="69"/>
      <c r="Z146" s="69"/>
      <c r="AA146" s="69"/>
      <c r="AB146" s="69"/>
      <c r="AC146" s="69"/>
      <c r="AD146" s="69"/>
    </row>
    <row r="147" spans="1:30" s="96" customFormat="1" ht="35.25" customHeight="1">
      <c r="A147" s="88">
        <v>10</v>
      </c>
      <c r="B147" s="89" t="s">
        <v>168</v>
      </c>
      <c r="C147" s="90"/>
      <c r="D147" s="91">
        <v>25743.006637873648</v>
      </c>
      <c r="E147" s="91"/>
      <c r="F147" s="91"/>
      <c r="G147" s="91"/>
      <c r="H147" s="91">
        <v>25743.006637873648</v>
      </c>
      <c r="I147" s="91">
        <f t="shared" si="2"/>
        <v>0</v>
      </c>
      <c r="J147" s="92">
        <f>+H147-D147</f>
        <v>0</v>
      </c>
      <c r="K147" s="93">
        <v>0</v>
      </c>
      <c r="L147" s="95"/>
      <c r="M147" s="95"/>
      <c r="N147" s="95"/>
      <c r="O147" s="95"/>
      <c r="P147" s="95"/>
      <c r="Q147" s="95"/>
      <c r="R147" s="95"/>
      <c r="S147" s="95"/>
      <c r="T147" s="95"/>
      <c r="U147" s="95"/>
      <c r="V147" s="95"/>
      <c r="W147" s="95"/>
      <c r="X147" s="95"/>
      <c r="Y147" s="95"/>
      <c r="Z147" s="95"/>
      <c r="AA147" s="95"/>
      <c r="AB147" s="95"/>
      <c r="AC147" s="95"/>
      <c r="AD147" s="95"/>
    </row>
    <row r="148" spans="1:30" s="96" customFormat="1" ht="18" customHeight="1">
      <c r="A148" s="88">
        <v>11</v>
      </c>
      <c r="B148" s="89" t="s">
        <v>20</v>
      </c>
      <c r="C148" s="90"/>
      <c r="D148" s="91"/>
      <c r="E148" s="91"/>
      <c r="F148" s="91"/>
      <c r="G148" s="91"/>
      <c r="H148" s="91">
        <f>H149+H150+H156+H157+H159</f>
        <v>967391.5</v>
      </c>
      <c r="I148" s="91">
        <f>J148+K148</f>
        <v>666407</v>
      </c>
      <c r="J148" s="93">
        <f>J149+J150+J156+J157+J158+J159</f>
        <v>286440</v>
      </c>
      <c r="K148" s="93">
        <f>K149+K150+K156+K157+K158+K159</f>
        <v>379967</v>
      </c>
      <c r="L148" s="95"/>
      <c r="M148" s="95"/>
      <c r="N148" s="95"/>
      <c r="O148" s="95"/>
      <c r="P148" s="95"/>
      <c r="Q148" s="95"/>
      <c r="R148" s="95"/>
      <c r="S148" s="95"/>
      <c r="T148" s="95"/>
      <c r="U148" s="95"/>
      <c r="V148" s="95"/>
      <c r="W148" s="95"/>
      <c r="X148" s="95"/>
      <c r="Y148" s="95"/>
      <c r="Z148" s="95"/>
      <c r="AA148" s="95"/>
      <c r="AB148" s="95"/>
      <c r="AC148" s="95"/>
      <c r="AD148" s="95"/>
    </row>
    <row r="149" spans="1:30" s="100" customFormat="1" ht="35.25" customHeight="1">
      <c r="A149" s="101" t="s">
        <v>117</v>
      </c>
      <c r="B149" s="102" t="s">
        <v>118</v>
      </c>
      <c r="C149" s="90"/>
      <c r="D149" s="97"/>
      <c r="E149" s="97"/>
      <c r="F149" s="97"/>
      <c r="G149" s="149"/>
      <c r="H149" s="103">
        <v>722740</v>
      </c>
      <c r="I149" s="91">
        <f t="shared" si="2"/>
        <v>519505</v>
      </c>
      <c r="J149" s="97">
        <v>139538</v>
      </c>
      <c r="K149" s="98">
        <v>379967</v>
      </c>
      <c r="L149" s="94"/>
      <c r="M149" s="99"/>
      <c r="N149" s="99"/>
      <c r="O149" s="99"/>
      <c r="P149" s="99"/>
      <c r="Q149" s="99"/>
      <c r="R149" s="99"/>
      <c r="S149" s="99"/>
      <c r="T149" s="99"/>
      <c r="U149" s="99"/>
      <c r="V149" s="99"/>
      <c r="W149" s="99"/>
      <c r="X149" s="99"/>
      <c r="Y149" s="99"/>
      <c r="Z149" s="99"/>
      <c r="AA149" s="99"/>
      <c r="AB149" s="99"/>
      <c r="AC149" s="99"/>
      <c r="AD149" s="99"/>
    </row>
    <row r="150" spans="1:30" s="100" customFormat="1" ht="21" customHeight="1">
      <c r="A150" s="101" t="s">
        <v>119</v>
      </c>
      <c r="B150" s="102" t="s">
        <v>120</v>
      </c>
      <c r="C150" s="90"/>
      <c r="D150" s="97"/>
      <c r="E150" s="103">
        <v>3</v>
      </c>
      <c r="F150" s="103">
        <v>3</v>
      </c>
      <c r="G150" s="90"/>
      <c r="H150" s="103">
        <f>SUM(H151:H155)</f>
        <v>97750</v>
      </c>
      <c r="I150" s="91">
        <f t="shared" si="2"/>
        <v>0</v>
      </c>
      <c r="J150" s="97">
        <v>0</v>
      </c>
      <c r="K150" s="98">
        <v>0</v>
      </c>
      <c r="L150" s="99"/>
      <c r="M150" s="99"/>
      <c r="N150" s="99"/>
      <c r="O150" s="99"/>
      <c r="P150" s="99"/>
      <c r="Q150" s="99"/>
      <c r="R150" s="99"/>
      <c r="S150" s="99"/>
      <c r="T150" s="99"/>
      <c r="U150" s="99"/>
      <c r="V150" s="99"/>
      <c r="W150" s="99"/>
      <c r="X150" s="99"/>
      <c r="Y150" s="99"/>
      <c r="Z150" s="99"/>
      <c r="AA150" s="99"/>
      <c r="AB150" s="99"/>
      <c r="AC150" s="99"/>
      <c r="AD150" s="99"/>
    </row>
    <row r="151" spans="1:30" s="100" customFormat="1" ht="18" customHeight="1">
      <c r="A151" s="150"/>
      <c r="B151" s="108" t="s">
        <v>170</v>
      </c>
      <c r="C151" s="90" t="s">
        <v>121</v>
      </c>
      <c r="D151" s="97"/>
      <c r="E151" s="109"/>
      <c r="F151" s="109"/>
      <c r="G151" s="122">
        <v>76500</v>
      </c>
      <c r="H151" s="97">
        <v>0</v>
      </c>
      <c r="I151" s="91">
        <f t="shared" si="2"/>
        <v>0</v>
      </c>
      <c r="J151" s="97"/>
      <c r="K151" s="98"/>
      <c r="L151" s="99"/>
      <c r="M151" s="99"/>
      <c r="N151" s="99"/>
      <c r="O151" s="99"/>
      <c r="P151" s="99"/>
      <c r="Q151" s="99"/>
      <c r="R151" s="99"/>
      <c r="S151" s="99"/>
      <c r="T151" s="99"/>
      <c r="U151" s="99"/>
      <c r="V151" s="99"/>
      <c r="W151" s="99"/>
      <c r="X151" s="99"/>
      <c r="Y151" s="99"/>
      <c r="Z151" s="99"/>
      <c r="AA151" s="99"/>
      <c r="AB151" s="99"/>
      <c r="AC151" s="99"/>
      <c r="AD151" s="99"/>
    </row>
    <row r="152" spans="1:30" ht="18" customHeight="1">
      <c r="A152" s="107"/>
      <c r="B152" s="108" t="s">
        <v>122</v>
      </c>
      <c r="C152" s="90" t="s">
        <v>121</v>
      </c>
      <c r="D152" s="109"/>
      <c r="E152" s="109"/>
      <c r="F152" s="109">
        <v>1</v>
      </c>
      <c r="G152" s="122">
        <v>46500</v>
      </c>
      <c r="H152" s="97">
        <f>F152*G152</f>
        <v>46500</v>
      </c>
      <c r="I152" s="91">
        <f t="shared" si="2"/>
        <v>0</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7"/>
      <c r="B153" s="108" t="s">
        <v>123</v>
      </c>
      <c r="C153" s="90" t="s">
        <v>121</v>
      </c>
      <c r="D153" s="109"/>
      <c r="E153" s="109">
        <v>2</v>
      </c>
      <c r="F153" s="109">
        <v>1</v>
      </c>
      <c r="G153" s="122">
        <v>12750</v>
      </c>
      <c r="H153" s="97">
        <f>F153*G153</f>
        <v>12750</v>
      </c>
      <c r="I153" s="91">
        <f t="shared" si="2"/>
        <v>0</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8" customHeight="1">
      <c r="A154" s="107"/>
      <c r="B154" s="128" t="s">
        <v>124</v>
      </c>
      <c r="C154" s="90" t="s">
        <v>121</v>
      </c>
      <c r="D154" s="109"/>
      <c r="E154" s="109">
        <v>1</v>
      </c>
      <c r="F154" s="109">
        <v>1</v>
      </c>
      <c r="G154" s="122">
        <v>8500</v>
      </c>
      <c r="H154" s="97">
        <f>F154*G154</f>
        <v>8500</v>
      </c>
      <c r="I154" s="91">
        <f t="shared" si="2"/>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8" customHeight="1">
      <c r="A155" s="107"/>
      <c r="B155" s="128" t="s">
        <v>169</v>
      </c>
      <c r="C155" s="90" t="s">
        <v>121</v>
      </c>
      <c r="D155" s="109"/>
      <c r="E155" s="109">
        <v>6</v>
      </c>
      <c r="F155" s="109">
        <v>6</v>
      </c>
      <c r="G155" s="122">
        <v>5000</v>
      </c>
      <c r="H155" s="97">
        <f>F155*G155</f>
        <v>30000</v>
      </c>
      <c r="I155" s="91">
        <f t="shared" si="2"/>
        <v>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ht="18" customHeight="1">
      <c r="A156" s="101" t="s">
        <v>125</v>
      </c>
      <c r="B156" s="102" t="s">
        <v>126</v>
      </c>
      <c r="C156" s="90" t="s">
        <v>127</v>
      </c>
      <c r="D156" s="109"/>
      <c r="E156" s="109"/>
      <c r="F156" s="109"/>
      <c r="G156" s="109"/>
      <c r="H156" s="103">
        <v>87641</v>
      </c>
      <c r="I156" s="91">
        <f t="shared" si="2"/>
        <v>87641</v>
      </c>
      <c r="J156" s="109">
        <v>87641</v>
      </c>
      <c r="K156" s="110"/>
      <c r="L156" s="69"/>
      <c r="M156" s="69"/>
      <c r="N156" s="69"/>
      <c r="O156" s="69"/>
      <c r="P156" s="69"/>
      <c r="Q156" s="69"/>
      <c r="R156" s="69"/>
      <c r="S156" s="69"/>
      <c r="T156" s="69"/>
      <c r="U156" s="69"/>
      <c r="V156" s="69"/>
      <c r="W156" s="69"/>
      <c r="X156" s="69"/>
      <c r="Y156" s="69"/>
      <c r="Z156" s="69"/>
      <c r="AA156" s="69"/>
      <c r="AB156" s="69"/>
      <c r="AC156" s="69"/>
      <c r="AD156" s="69"/>
    </row>
    <row r="157" spans="1:30" ht="18" customHeight="1">
      <c r="A157" s="101" t="s">
        <v>128</v>
      </c>
      <c r="B157" s="102" t="s">
        <v>171</v>
      </c>
      <c r="C157" s="90" t="s">
        <v>127</v>
      </c>
      <c r="D157" s="109"/>
      <c r="E157" s="109"/>
      <c r="F157" s="109"/>
      <c r="G157" s="109"/>
      <c r="H157" s="103">
        <v>53260.5</v>
      </c>
      <c r="I157" s="91">
        <f t="shared" si="2"/>
        <v>53261</v>
      </c>
      <c r="J157" s="109">
        <v>53261</v>
      </c>
      <c r="K157" s="110"/>
      <c r="L157" s="69"/>
      <c r="M157" s="69"/>
      <c r="N157" s="69"/>
      <c r="O157" s="69"/>
      <c r="P157" s="69"/>
      <c r="Q157" s="69"/>
      <c r="R157" s="69"/>
      <c r="S157" s="69"/>
      <c r="T157" s="69"/>
      <c r="U157" s="69"/>
      <c r="V157" s="69"/>
      <c r="W157" s="69"/>
      <c r="X157" s="69"/>
      <c r="Y157" s="69"/>
      <c r="Z157" s="69"/>
      <c r="AA157" s="69"/>
      <c r="AB157" s="69"/>
      <c r="AC157" s="69"/>
      <c r="AD157" s="69"/>
    </row>
    <row r="158" spans="1:30" ht="19.899999999999999" customHeight="1">
      <c r="A158" s="101" t="s">
        <v>128</v>
      </c>
      <c r="B158" s="102" t="s">
        <v>172</v>
      </c>
      <c r="C158" s="90" t="s">
        <v>127</v>
      </c>
      <c r="D158" s="109"/>
      <c r="E158" s="109"/>
      <c r="F158" s="109"/>
      <c r="G158" s="109">
        <v>400000</v>
      </c>
      <c r="H158" s="103">
        <v>0</v>
      </c>
      <c r="I158" s="91">
        <f t="shared" si="2"/>
        <v>0</v>
      </c>
      <c r="J158" s="109"/>
      <c r="K158" s="110"/>
      <c r="L158" s="69"/>
      <c r="M158" s="69"/>
      <c r="N158" s="69"/>
      <c r="O158" s="69"/>
      <c r="P158" s="69"/>
      <c r="Q158" s="69"/>
      <c r="R158" s="69"/>
      <c r="S158" s="69"/>
      <c r="T158" s="69"/>
      <c r="U158" s="69"/>
      <c r="V158" s="69"/>
      <c r="W158" s="69"/>
      <c r="X158" s="69"/>
      <c r="Y158" s="69"/>
      <c r="Z158" s="69"/>
      <c r="AA158" s="69"/>
      <c r="AB158" s="69"/>
      <c r="AC158" s="69"/>
      <c r="AD158" s="69"/>
    </row>
    <row r="159" spans="1:30" ht="19.899999999999999" customHeight="1">
      <c r="A159" s="101" t="s">
        <v>173</v>
      </c>
      <c r="B159" s="102" t="s">
        <v>174</v>
      </c>
      <c r="C159" s="90"/>
      <c r="D159" s="109"/>
      <c r="E159" s="109"/>
      <c r="F159" s="109"/>
      <c r="G159" s="109"/>
      <c r="H159" s="103">
        <v>6000</v>
      </c>
      <c r="I159" s="91">
        <f t="shared" si="2"/>
        <v>6000</v>
      </c>
      <c r="J159" s="109">
        <v>6000</v>
      </c>
      <c r="K159" s="110"/>
      <c r="L159" s="69"/>
      <c r="M159" s="69"/>
      <c r="N159" s="69"/>
      <c r="O159" s="69"/>
      <c r="P159" s="69"/>
      <c r="Q159" s="69"/>
      <c r="R159" s="69"/>
      <c r="S159" s="69"/>
      <c r="T159" s="69"/>
      <c r="U159" s="69"/>
      <c r="V159" s="69"/>
      <c r="W159" s="69"/>
      <c r="X159" s="69"/>
      <c r="Y159" s="69"/>
      <c r="Z159" s="69"/>
      <c r="AA159" s="69"/>
      <c r="AB159" s="69"/>
      <c r="AC159" s="69"/>
      <c r="AD159" s="69"/>
    </row>
    <row r="160" spans="1:30" s="96" customFormat="1" ht="18" customHeight="1">
      <c r="A160" s="88">
        <v>12</v>
      </c>
      <c r="B160" s="102" t="s">
        <v>131</v>
      </c>
      <c r="C160" s="90"/>
      <c r="D160" s="91"/>
      <c r="E160" s="91"/>
      <c r="F160" s="91"/>
      <c r="G160" s="91"/>
      <c r="H160" s="91">
        <v>150550</v>
      </c>
      <c r="I160" s="91">
        <f t="shared" si="2"/>
        <v>82742</v>
      </c>
      <c r="J160" s="92">
        <v>29267</v>
      </c>
      <c r="K160" s="93">
        <v>53475</v>
      </c>
      <c r="L160" s="95"/>
      <c r="M160" s="95"/>
      <c r="N160" s="95"/>
      <c r="O160" s="95"/>
      <c r="P160" s="95"/>
      <c r="Q160" s="95"/>
      <c r="R160" s="95"/>
      <c r="S160" s="95"/>
      <c r="T160" s="95"/>
      <c r="U160" s="95"/>
      <c r="V160" s="95"/>
      <c r="W160" s="95"/>
      <c r="X160" s="95"/>
      <c r="Y160" s="95"/>
      <c r="Z160" s="95"/>
      <c r="AA160" s="95"/>
      <c r="AB160" s="95"/>
      <c r="AC160" s="95"/>
      <c r="AD160" s="95"/>
    </row>
    <row r="161" spans="1:30" s="100" customFormat="1" ht="18" hidden="1" customHeight="1">
      <c r="A161" s="101" t="s">
        <v>129</v>
      </c>
      <c r="B161" s="102" t="s">
        <v>133</v>
      </c>
      <c r="C161" s="90"/>
      <c r="D161" s="97"/>
      <c r="E161" s="151"/>
      <c r="F161" s="151"/>
      <c r="G161" s="97"/>
      <c r="H161" s="91"/>
      <c r="I161" s="91">
        <f t="shared" si="2"/>
        <v>0</v>
      </c>
      <c r="J161" s="97"/>
      <c r="K161" s="98"/>
      <c r="L161" s="99"/>
      <c r="M161" s="99"/>
      <c r="N161" s="99"/>
      <c r="O161" s="99"/>
      <c r="P161" s="99"/>
      <c r="Q161" s="99"/>
      <c r="R161" s="99"/>
      <c r="S161" s="99"/>
      <c r="T161" s="99"/>
      <c r="U161" s="99"/>
      <c r="V161" s="99"/>
      <c r="W161" s="99"/>
      <c r="X161" s="99"/>
      <c r="Y161" s="99"/>
      <c r="Z161" s="99"/>
      <c r="AA161" s="99"/>
      <c r="AB161" s="99"/>
      <c r="AC161" s="99"/>
      <c r="AD161" s="99"/>
    </row>
    <row r="162" spans="1:30" s="158" customFormat="1" ht="18" hidden="1" customHeight="1">
      <c r="A162" s="152" t="s">
        <v>24</v>
      </c>
      <c r="B162" s="153" t="s">
        <v>134</v>
      </c>
      <c r="C162" s="90"/>
      <c r="D162" s="154"/>
      <c r="E162" s="155"/>
      <c r="F162" s="155"/>
      <c r="G162" s="154"/>
      <c r="H162" s="334"/>
      <c r="I162" s="91">
        <f t="shared" si="2"/>
        <v>0</v>
      </c>
      <c r="J162" s="154"/>
      <c r="K162" s="156"/>
      <c r="L162" s="157"/>
      <c r="M162" s="157"/>
      <c r="N162" s="157"/>
      <c r="O162" s="157"/>
      <c r="P162" s="157"/>
      <c r="Q162" s="157"/>
      <c r="R162" s="157"/>
      <c r="S162" s="157"/>
      <c r="T162" s="157"/>
      <c r="U162" s="157"/>
      <c r="V162" s="157"/>
      <c r="W162" s="157"/>
      <c r="X162" s="157"/>
      <c r="Y162" s="157"/>
      <c r="Z162" s="157"/>
      <c r="AA162" s="157"/>
      <c r="AB162" s="157"/>
      <c r="AC162" s="157"/>
      <c r="AD162" s="157"/>
    </row>
    <row r="163" spans="1:30" ht="18" hidden="1" customHeight="1">
      <c r="A163" s="107"/>
      <c r="B163" s="108" t="s">
        <v>135</v>
      </c>
      <c r="C163" s="90" t="s">
        <v>49</v>
      </c>
      <c r="D163" s="109"/>
      <c r="E163" s="293"/>
      <c r="F163" s="159"/>
      <c r="G163" s="109"/>
      <c r="H163" s="97"/>
      <c r="I163" s="91">
        <f t="shared" si="2"/>
        <v>0</v>
      </c>
      <c r="J163" s="109"/>
      <c r="K163" s="110"/>
      <c r="L163" s="69"/>
      <c r="M163" s="69"/>
      <c r="N163" s="69"/>
      <c r="O163" s="69"/>
      <c r="P163" s="69"/>
      <c r="Q163" s="69"/>
      <c r="R163" s="69"/>
      <c r="S163" s="69"/>
      <c r="T163" s="69"/>
      <c r="U163" s="69"/>
      <c r="V163" s="69"/>
      <c r="W163" s="69"/>
      <c r="X163" s="69"/>
      <c r="Y163" s="69"/>
      <c r="Z163" s="69"/>
      <c r="AA163" s="69"/>
      <c r="AB163" s="69"/>
      <c r="AC163" s="69"/>
      <c r="AD163" s="69"/>
    </row>
    <row r="164" spans="1:30" ht="18" hidden="1" customHeight="1">
      <c r="A164" s="107"/>
      <c r="B164" s="108" t="s">
        <v>136</v>
      </c>
      <c r="C164" s="90" t="s">
        <v>49</v>
      </c>
      <c r="D164" s="109"/>
      <c r="E164" s="293"/>
      <c r="F164" s="159"/>
      <c r="G164" s="109"/>
      <c r="H164" s="97"/>
      <c r="I164" s="91">
        <f t="shared" si="2"/>
        <v>0</v>
      </c>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294</v>
      </c>
      <c r="C165" s="90" t="s">
        <v>49</v>
      </c>
      <c r="D165" s="109"/>
      <c r="E165" s="293"/>
      <c r="F165" s="159"/>
      <c r="G165" s="109"/>
      <c r="H165" s="97"/>
      <c r="I165" s="91">
        <f t="shared" si="2"/>
        <v>0</v>
      </c>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ht="18" hidden="1" customHeight="1">
      <c r="A166" s="107"/>
      <c r="B166" s="108" t="s">
        <v>137</v>
      </c>
      <c r="C166" s="90" t="s">
        <v>49</v>
      </c>
      <c r="D166" s="109"/>
      <c r="E166" s="293"/>
      <c r="F166" s="159"/>
      <c r="G166" s="109"/>
      <c r="H166" s="97"/>
      <c r="I166" s="91">
        <f t="shared" si="2"/>
        <v>0</v>
      </c>
      <c r="J166" s="109"/>
      <c r="K166" s="110"/>
      <c r="L166" s="69"/>
      <c r="M166" s="69"/>
      <c r="N166" s="69"/>
      <c r="O166" s="69"/>
      <c r="P166" s="69"/>
      <c r="Q166" s="69"/>
      <c r="R166" s="69"/>
      <c r="S166" s="69"/>
      <c r="T166" s="69"/>
      <c r="U166" s="69"/>
      <c r="V166" s="69"/>
      <c r="W166" s="69"/>
      <c r="X166" s="69"/>
      <c r="Y166" s="69"/>
      <c r="Z166" s="69"/>
      <c r="AA166" s="69"/>
      <c r="AB166" s="69"/>
      <c r="AC166" s="69"/>
      <c r="AD166" s="69"/>
    </row>
    <row r="167" spans="1:30" s="158" customFormat="1" ht="18" hidden="1" customHeight="1">
      <c r="A167" s="152" t="s">
        <v>25</v>
      </c>
      <c r="B167" s="153" t="s">
        <v>138</v>
      </c>
      <c r="C167" s="90"/>
      <c r="D167" s="154"/>
      <c r="E167" s="155"/>
      <c r="F167" s="155"/>
      <c r="G167" s="154"/>
      <c r="H167" s="334"/>
      <c r="I167" s="91">
        <f t="shared" si="2"/>
        <v>0</v>
      </c>
      <c r="J167" s="154"/>
      <c r="K167" s="156"/>
      <c r="L167" s="157"/>
      <c r="M167" s="157"/>
      <c r="N167" s="157"/>
      <c r="O167" s="157"/>
      <c r="P167" s="157"/>
      <c r="Q167" s="157"/>
      <c r="R167" s="157"/>
      <c r="S167" s="157"/>
      <c r="T167" s="157"/>
      <c r="U167" s="157"/>
      <c r="V167" s="157"/>
      <c r="W167" s="157"/>
      <c r="X167" s="157"/>
      <c r="Y167" s="157"/>
      <c r="Z167" s="157"/>
      <c r="AA167" s="157"/>
      <c r="AB167" s="157"/>
      <c r="AC167" s="157"/>
      <c r="AD167" s="157"/>
    </row>
    <row r="168" spans="1:30" ht="18" hidden="1" customHeight="1">
      <c r="A168" s="107"/>
      <c r="B168" s="108" t="s">
        <v>139</v>
      </c>
      <c r="C168" s="90" t="s">
        <v>140</v>
      </c>
      <c r="D168" s="109"/>
      <c r="E168" s="287"/>
      <c r="F168" s="109"/>
      <c r="G168" s="109"/>
      <c r="H168" s="97"/>
      <c r="I168" s="91">
        <f t="shared" si="2"/>
        <v>0</v>
      </c>
      <c r="J168" s="109"/>
      <c r="K168" s="110"/>
      <c r="L168" s="69"/>
      <c r="M168" s="69"/>
      <c r="N168" s="69"/>
      <c r="O168" s="69"/>
      <c r="P168" s="69"/>
      <c r="Q168" s="69"/>
      <c r="R168" s="69"/>
      <c r="S168" s="69"/>
      <c r="T168" s="69"/>
      <c r="U168" s="69"/>
      <c r="V168" s="69"/>
      <c r="W168" s="69"/>
      <c r="X168" s="69"/>
      <c r="Y168" s="69"/>
      <c r="Z168" s="69"/>
      <c r="AA168" s="69"/>
      <c r="AB168" s="69"/>
      <c r="AC168" s="69"/>
      <c r="AD168" s="69"/>
    </row>
    <row r="169" spans="1:30" ht="18" hidden="1" customHeight="1">
      <c r="A169" s="107"/>
      <c r="B169" s="108" t="s">
        <v>141</v>
      </c>
      <c r="C169" s="90" t="s">
        <v>142</v>
      </c>
      <c r="D169" s="109"/>
      <c r="E169" s="293"/>
      <c r="F169" s="159"/>
      <c r="G169" s="109"/>
      <c r="H169" s="97"/>
      <c r="I169" s="91">
        <f t="shared" si="2"/>
        <v>0</v>
      </c>
      <c r="J169" s="109"/>
      <c r="K169" s="110"/>
      <c r="L169" s="69"/>
      <c r="M169" s="69"/>
      <c r="N169" s="69"/>
      <c r="O169" s="69"/>
      <c r="P169" s="69"/>
      <c r="Q169" s="69"/>
      <c r="R169" s="69"/>
      <c r="S169" s="69"/>
      <c r="T169" s="69"/>
      <c r="U169" s="69"/>
      <c r="V169" s="69"/>
      <c r="W169" s="69"/>
      <c r="X169" s="69"/>
      <c r="Y169" s="69"/>
      <c r="Z169" s="69"/>
      <c r="AA169" s="69"/>
      <c r="AB169" s="69"/>
      <c r="AC169" s="69"/>
      <c r="AD169" s="69"/>
    </row>
    <row r="170" spans="1:30" s="100" customFormat="1" ht="18" hidden="1" customHeight="1">
      <c r="A170" s="101" t="s">
        <v>130</v>
      </c>
      <c r="B170" s="102" t="s">
        <v>144</v>
      </c>
      <c r="C170" s="90"/>
      <c r="D170" s="97"/>
      <c r="E170" s="103"/>
      <c r="F170" s="103"/>
      <c r="G170" s="97"/>
      <c r="H170" s="91"/>
      <c r="I170" s="91">
        <f t="shared" si="2"/>
        <v>0</v>
      </c>
      <c r="J170" s="97"/>
      <c r="K170" s="98"/>
      <c r="L170" s="99"/>
      <c r="M170" s="99"/>
      <c r="N170" s="99"/>
      <c r="O170" s="99"/>
      <c r="P170" s="99"/>
      <c r="Q170" s="99"/>
      <c r="R170" s="99"/>
      <c r="S170" s="99"/>
      <c r="T170" s="99"/>
      <c r="U170" s="99"/>
      <c r="V170" s="99"/>
      <c r="W170" s="99"/>
      <c r="X170" s="99"/>
      <c r="Y170" s="99"/>
      <c r="Z170" s="99"/>
      <c r="AA170" s="99"/>
      <c r="AB170" s="99"/>
      <c r="AC170" s="99"/>
      <c r="AD170" s="99"/>
    </row>
    <row r="171" spans="1:30" s="100" customFormat="1" ht="16.5" hidden="1" customHeight="1">
      <c r="A171" s="101" t="s">
        <v>175</v>
      </c>
      <c r="B171" s="102" t="s">
        <v>145</v>
      </c>
      <c r="C171" s="90"/>
      <c r="D171" s="97"/>
      <c r="E171" s="103"/>
      <c r="F171" s="103"/>
      <c r="G171" s="97"/>
      <c r="H171" s="91"/>
      <c r="I171" s="91">
        <f t="shared" si="2"/>
        <v>0</v>
      </c>
      <c r="J171" s="97"/>
      <c r="K171" s="98"/>
      <c r="L171" s="99"/>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101" t="s">
        <v>176</v>
      </c>
      <c r="B172" s="102" t="s">
        <v>146</v>
      </c>
      <c r="C172" s="90"/>
      <c r="D172" s="97"/>
      <c r="E172" s="103"/>
      <c r="F172" s="103"/>
      <c r="G172" s="97"/>
      <c r="H172" s="91"/>
      <c r="I172" s="91">
        <f t="shared" si="2"/>
        <v>0</v>
      </c>
      <c r="J172" s="97"/>
      <c r="K172" s="98"/>
      <c r="L172" s="99"/>
      <c r="M172" s="99"/>
      <c r="N172" s="99"/>
      <c r="O172" s="99"/>
      <c r="P172" s="99"/>
      <c r="Q172" s="99"/>
      <c r="R172" s="99"/>
      <c r="S172" s="99"/>
      <c r="T172" s="99"/>
      <c r="U172" s="99"/>
      <c r="V172" s="99"/>
      <c r="W172" s="99"/>
      <c r="X172" s="99"/>
      <c r="Y172" s="99"/>
      <c r="Z172" s="99"/>
      <c r="AA172" s="99"/>
      <c r="AB172" s="99"/>
      <c r="AC172" s="99"/>
      <c r="AD172" s="99"/>
    </row>
    <row r="173" spans="1:30" s="96" customFormat="1" ht="18" customHeight="1">
      <c r="A173" s="88">
        <v>13</v>
      </c>
      <c r="B173" s="102" t="s">
        <v>147</v>
      </c>
      <c r="C173" s="90"/>
      <c r="D173" s="91"/>
      <c r="E173" s="91"/>
      <c r="F173" s="91"/>
      <c r="G173" s="91"/>
      <c r="H173" s="91">
        <f>H174+H175</f>
        <v>52760</v>
      </c>
      <c r="I173" s="91">
        <f t="shared" si="2"/>
        <v>21781</v>
      </c>
      <c r="J173" s="92"/>
      <c r="K173" s="93">
        <v>21781</v>
      </c>
      <c r="L173" s="95"/>
      <c r="M173" s="95"/>
      <c r="N173" s="95"/>
      <c r="O173" s="95"/>
      <c r="P173" s="95"/>
      <c r="Q173" s="95"/>
      <c r="R173" s="95"/>
      <c r="S173" s="95"/>
      <c r="T173" s="95"/>
      <c r="U173" s="95"/>
      <c r="V173" s="95"/>
      <c r="W173" s="95"/>
      <c r="X173" s="95"/>
      <c r="Y173" s="95"/>
      <c r="Z173" s="95"/>
      <c r="AA173" s="95"/>
      <c r="AB173" s="95"/>
      <c r="AC173" s="95"/>
      <c r="AD173" s="95"/>
    </row>
    <row r="174" spans="1:30" s="100" customFormat="1" ht="17.25" customHeight="1">
      <c r="A174" s="107" t="s">
        <v>132</v>
      </c>
      <c r="B174" s="108" t="s">
        <v>148</v>
      </c>
      <c r="C174" s="90"/>
      <c r="D174" s="97"/>
      <c r="E174" s="97"/>
      <c r="F174" s="97"/>
      <c r="G174" s="97"/>
      <c r="H174" s="112">
        <v>41560</v>
      </c>
      <c r="I174" s="91">
        <f t="shared" si="2"/>
        <v>0</v>
      </c>
      <c r="J174" s="97"/>
      <c r="K174" s="98"/>
      <c r="L174" s="99"/>
      <c r="M174" s="99"/>
      <c r="N174" s="99"/>
      <c r="O174" s="99"/>
      <c r="P174" s="99"/>
      <c r="Q174" s="99"/>
      <c r="R174" s="99"/>
      <c r="S174" s="99"/>
      <c r="T174" s="99"/>
      <c r="U174" s="99"/>
      <c r="V174" s="99"/>
      <c r="W174" s="99"/>
      <c r="X174" s="99"/>
      <c r="Y174" s="99"/>
      <c r="Z174" s="99"/>
      <c r="AA174" s="99"/>
      <c r="AB174" s="99"/>
      <c r="AC174" s="99"/>
      <c r="AD174" s="99"/>
    </row>
    <row r="175" spans="1:30" s="100" customFormat="1" ht="33.6" customHeight="1">
      <c r="A175" s="107" t="s">
        <v>143</v>
      </c>
      <c r="B175" s="108" t="s">
        <v>341</v>
      </c>
      <c r="C175" s="90"/>
      <c r="D175" s="97"/>
      <c r="E175" s="97">
        <v>14</v>
      </c>
      <c r="F175" s="97">
        <v>14</v>
      </c>
      <c r="G175" s="119">
        <v>800</v>
      </c>
      <c r="H175" s="112">
        <f>F175*G175</f>
        <v>11200</v>
      </c>
      <c r="I175" s="91">
        <f t="shared" si="2"/>
        <v>0</v>
      </c>
      <c r="J175" s="97"/>
      <c r="K175" s="98"/>
      <c r="L175" s="99"/>
      <c r="M175" s="99"/>
      <c r="N175" s="99"/>
      <c r="O175" s="99"/>
      <c r="P175" s="99"/>
      <c r="Q175" s="99"/>
      <c r="R175" s="99"/>
      <c r="S175" s="99"/>
      <c r="T175" s="99"/>
      <c r="U175" s="99"/>
      <c r="V175" s="99"/>
      <c r="W175" s="99"/>
      <c r="X175" s="99"/>
      <c r="Y175" s="99"/>
      <c r="Z175" s="99"/>
      <c r="AA175" s="99"/>
      <c r="AB175" s="99"/>
      <c r="AC175" s="99"/>
      <c r="AD175" s="99"/>
    </row>
    <row r="176" spans="1:30" s="96" customFormat="1" ht="48.75" customHeight="1">
      <c r="A176" s="88">
        <v>14</v>
      </c>
      <c r="B176" s="102" t="s">
        <v>177</v>
      </c>
      <c r="C176" s="90"/>
      <c r="D176" s="91"/>
      <c r="E176" s="91"/>
      <c r="F176" s="91"/>
      <c r="G176" s="91"/>
      <c r="H176" s="91">
        <f>M5</f>
        <v>1409969.2803725153</v>
      </c>
      <c r="I176" s="91">
        <f t="shared" si="2"/>
        <v>0</v>
      </c>
      <c r="J176" s="92"/>
      <c r="K176" s="93"/>
      <c r="L176" s="95"/>
      <c r="M176" s="95"/>
      <c r="N176" s="95"/>
      <c r="O176" s="95"/>
      <c r="P176" s="95"/>
      <c r="Q176" s="95"/>
      <c r="R176" s="95"/>
      <c r="S176" s="95"/>
      <c r="T176" s="95"/>
      <c r="U176" s="95"/>
      <c r="V176" s="95"/>
      <c r="W176" s="95"/>
      <c r="X176" s="95"/>
      <c r="Y176" s="95"/>
      <c r="Z176" s="95"/>
      <c r="AA176" s="95"/>
      <c r="AB176" s="95"/>
      <c r="AC176" s="95"/>
      <c r="AD176" s="95"/>
    </row>
    <row r="177" spans="1:30" ht="20.25" hidden="1" customHeight="1" thickBot="1">
      <c r="A177" s="160"/>
      <c r="B177" s="161" t="s">
        <v>149</v>
      </c>
      <c r="C177" s="162" t="s">
        <v>54</v>
      </c>
      <c r="D177" s="163">
        <v>6151958.8457523556</v>
      </c>
      <c r="E177" s="164"/>
      <c r="F177" s="164"/>
      <c r="G177" s="164"/>
      <c r="H177" s="163">
        <v>4708239.5653798403</v>
      </c>
      <c r="I177" s="163">
        <v>4708239.5653798403</v>
      </c>
      <c r="J177" s="165">
        <f>+H177-D177</f>
        <v>-1443719.2803725153</v>
      </c>
      <c r="K177" s="166">
        <f>+H177/D177*100</f>
        <v>76.532364461941469</v>
      </c>
      <c r="L177" s="69"/>
      <c r="M177" s="69"/>
      <c r="N177" s="69"/>
      <c r="O177" s="69"/>
      <c r="P177" s="69"/>
      <c r="Q177" s="69"/>
      <c r="R177" s="69"/>
      <c r="S177" s="69"/>
      <c r="T177" s="69"/>
      <c r="U177" s="69"/>
      <c r="V177" s="69"/>
      <c r="W177" s="69"/>
      <c r="X177" s="69"/>
      <c r="Y177" s="69"/>
      <c r="Z177" s="69"/>
      <c r="AA177" s="69"/>
      <c r="AB177" s="69"/>
      <c r="AC177" s="69"/>
      <c r="AD177" s="69"/>
    </row>
    <row r="178" spans="1:30" ht="23.25" hidden="1" customHeight="1">
      <c r="A178" s="167"/>
      <c r="B178" s="168" t="s">
        <v>150</v>
      </c>
      <c r="C178" s="169"/>
      <c r="D178" s="169"/>
      <c r="E178" s="169"/>
      <c r="F178" s="169"/>
      <c r="G178" s="169"/>
      <c r="H178" s="170"/>
      <c r="I178" s="170"/>
      <c r="J178" s="170"/>
      <c r="K178" s="171"/>
      <c r="L178" s="69"/>
      <c r="M178" s="69"/>
      <c r="N178" s="69"/>
      <c r="O178" s="69"/>
      <c r="P178" s="69"/>
      <c r="Q178" s="69"/>
      <c r="R178" s="69"/>
      <c r="S178" s="69"/>
      <c r="T178" s="69"/>
      <c r="U178" s="69"/>
      <c r="V178" s="69"/>
      <c r="W178" s="69"/>
      <c r="X178" s="69"/>
      <c r="Y178" s="69"/>
      <c r="Z178" s="69"/>
      <c r="AA178" s="69"/>
      <c r="AB178" s="69"/>
      <c r="AC178" s="69"/>
      <c r="AD178" s="69"/>
    </row>
    <row r="179" spans="1:30" s="106" customFormat="1" ht="18.75" hidden="1" customHeight="1">
      <c r="A179" s="172"/>
      <c r="B179" s="173" t="s">
        <v>157</v>
      </c>
      <c r="C179" s="103"/>
      <c r="D179" s="103"/>
      <c r="E179" s="103"/>
      <c r="F179" s="103"/>
      <c r="G179" s="103"/>
      <c r="H179" s="103"/>
      <c r="I179" s="103"/>
      <c r="J179" s="103"/>
      <c r="K179" s="104"/>
      <c r="L179" s="123"/>
      <c r="M179" s="105"/>
      <c r="N179" s="105"/>
      <c r="O179" s="105"/>
      <c r="P179" s="105"/>
      <c r="Q179" s="105"/>
      <c r="R179" s="105"/>
      <c r="S179" s="105"/>
      <c r="T179" s="105"/>
      <c r="U179" s="105"/>
      <c r="V179" s="105"/>
      <c r="W179" s="105"/>
      <c r="X179" s="105"/>
      <c r="Y179" s="105"/>
      <c r="Z179" s="105"/>
      <c r="AA179" s="105"/>
      <c r="AB179" s="105"/>
      <c r="AC179" s="105"/>
      <c r="AD179" s="105"/>
    </row>
    <row r="180" spans="1:30" ht="15.75" hidden="1">
      <c r="A180" s="174">
        <v>1</v>
      </c>
      <c r="B180" s="970" t="s">
        <v>151</v>
      </c>
      <c r="C180" s="970"/>
      <c r="D180" s="970"/>
      <c r="E180" s="109"/>
      <c r="F180" s="109"/>
      <c r="G180" s="175">
        <v>0.35</v>
      </c>
      <c r="H180" s="133"/>
      <c r="I180" s="133"/>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v>3</v>
      </c>
      <c r="B181" s="970" t="s">
        <v>152</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15.75" hidden="1">
      <c r="A182" s="174">
        <v>4</v>
      </c>
      <c r="B182" s="970" t="s">
        <v>153</v>
      </c>
      <c r="C182" s="970"/>
      <c r="D182" s="970"/>
      <c r="E182" s="109"/>
      <c r="F182" s="109"/>
      <c r="G182" s="109"/>
      <c r="H182" s="176"/>
      <c r="I182" s="176"/>
      <c r="J182" s="109"/>
      <c r="K182" s="110"/>
      <c r="L182" s="69"/>
      <c r="M182" s="69"/>
      <c r="N182" s="69"/>
      <c r="O182" s="69"/>
      <c r="P182" s="69"/>
      <c r="Q182" s="69"/>
      <c r="R182" s="69"/>
      <c r="S182" s="69"/>
      <c r="T182" s="69"/>
      <c r="U182" s="69"/>
      <c r="V182" s="69"/>
      <c r="W182" s="69"/>
      <c r="X182" s="69"/>
      <c r="Y182" s="69"/>
      <c r="Z182" s="69"/>
      <c r="AA182" s="69"/>
      <c r="AB182" s="69"/>
      <c r="AC182" s="69"/>
      <c r="AD182" s="69"/>
    </row>
    <row r="183" spans="1:30" ht="15.75" hidden="1">
      <c r="A183" s="174">
        <v>5</v>
      </c>
      <c r="B183" s="970" t="s">
        <v>154</v>
      </c>
      <c r="C183" s="970"/>
      <c r="D183" s="970"/>
      <c r="E183" s="109"/>
      <c r="F183" s="109"/>
      <c r="G183" s="109"/>
      <c r="H183" s="109"/>
      <c r="I183" s="109"/>
      <c r="J183" s="109"/>
      <c r="K183" s="110"/>
      <c r="L183" s="69"/>
      <c r="M183" s="69"/>
      <c r="N183" s="69"/>
      <c r="O183" s="69"/>
      <c r="P183" s="69"/>
      <c r="Q183" s="69"/>
      <c r="R183" s="69"/>
      <c r="S183" s="69"/>
      <c r="T183" s="69"/>
      <c r="U183" s="69"/>
      <c r="V183" s="69"/>
      <c r="W183" s="69"/>
      <c r="X183" s="69"/>
      <c r="Y183" s="69"/>
      <c r="Z183" s="69"/>
      <c r="AA183" s="69"/>
      <c r="AB183" s="69"/>
      <c r="AC183" s="69"/>
      <c r="AD183" s="69"/>
    </row>
    <row r="184" spans="1:30" ht="15.75" hidden="1">
      <c r="A184" s="174">
        <v>6</v>
      </c>
      <c r="B184" s="970" t="s">
        <v>155</v>
      </c>
      <c r="C184" s="970"/>
      <c r="D184" s="970"/>
      <c r="E184" s="109"/>
      <c r="F184" s="109"/>
      <c r="G184" s="109"/>
      <c r="H184" s="109"/>
      <c r="I184" s="109"/>
      <c r="J184" s="109"/>
      <c r="K184" s="110"/>
      <c r="L184" s="69"/>
      <c r="M184" s="69"/>
      <c r="N184" s="69"/>
      <c r="O184" s="69"/>
      <c r="P184" s="69"/>
      <c r="Q184" s="69"/>
      <c r="R184" s="69"/>
      <c r="S184" s="69"/>
      <c r="T184" s="69"/>
      <c r="U184" s="69"/>
      <c r="V184" s="69"/>
      <c r="W184" s="69"/>
      <c r="X184" s="69"/>
      <c r="Y184" s="69"/>
      <c r="Z184" s="69"/>
      <c r="AA184" s="69"/>
      <c r="AB184" s="69"/>
      <c r="AC184" s="69"/>
      <c r="AD184" s="69"/>
    </row>
    <row r="185" spans="1:30" ht="15.75" hidden="1">
      <c r="A185" s="174"/>
      <c r="B185" s="970" t="s">
        <v>156</v>
      </c>
      <c r="C185" s="970"/>
      <c r="D185" s="970"/>
      <c r="E185" s="109"/>
      <c r="F185" s="109"/>
      <c r="G185" s="109"/>
      <c r="H185" s="109"/>
      <c r="I185" s="109"/>
      <c r="J185" s="109"/>
      <c r="K185" s="110"/>
      <c r="L185" s="69"/>
      <c r="M185" s="69"/>
      <c r="N185" s="69"/>
      <c r="O185" s="69"/>
      <c r="P185" s="69"/>
      <c r="Q185" s="69"/>
      <c r="R185" s="69"/>
      <c r="S185" s="69"/>
      <c r="T185" s="69"/>
      <c r="U185" s="69"/>
      <c r="V185" s="69"/>
      <c r="W185" s="69"/>
      <c r="X185" s="69"/>
      <c r="Y185" s="69"/>
      <c r="Z185" s="69"/>
      <c r="AA185" s="69"/>
      <c r="AB185" s="69"/>
      <c r="AC185" s="69"/>
      <c r="AD185" s="69"/>
    </row>
    <row r="186" spans="1:30" ht="9" customHeight="1" thickBot="1">
      <c r="A186" s="177"/>
      <c r="B186" s="178"/>
      <c r="C186" s="164"/>
      <c r="D186" s="164"/>
      <c r="E186" s="164"/>
      <c r="F186" s="164"/>
      <c r="G186" s="164"/>
      <c r="H186" s="164"/>
      <c r="I186" s="164"/>
      <c r="J186" s="164"/>
      <c r="K186" s="179"/>
      <c r="L186" s="69"/>
      <c r="M186" s="69"/>
      <c r="N186" s="69"/>
      <c r="O186" s="69"/>
      <c r="P186" s="69"/>
      <c r="Q186" s="69"/>
      <c r="R186" s="69"/>
      <c r="S186" s="69"/>
      <c r="T186" s="69"/>
      <c r="U186" s="69"/>
      <c r="V186" s="69"/>
      <c r="W186" s="69"/>
      <c r="X186" s="69"/>
      <c r="Y186" s="69"/>
      <c r="Z186" s="69"/>
      <c r="AA186" s="69"/>
      <c r="AB186" s="69"/>
      <c r="AC186" s="69"/>
      <c r="AD186" s="69"/>
    </row>
    <row r="187" spans="1:30" ht="15.75">
      <c r="A187" s="123"/>
      <c r="B187" s="123"/>
      <c r="D187" s="123"/>
      <c r="E187" s="180"/>
      <c r="F187" s="180"/>
      <c r="G187" s="123"/>
      <c r="H187" s="123"/>
      <c r="I187" s="123"/>
      <c r="J187" s="123"/>
      <c r="K187" s="69"/>
      <c r="L187" s="69"/>
      <c r="M187" s="69"/>
      <c r="N187" s="69"/>
      <c r="O187" s="69"/>
      <c r="P187" s="69"/>
      <c r="Q187" s="69"/>
      <c r="R187" s="69"/>
      <c r="S187" s="69"/>
      <c r="T187" s="69"/>
      <c r="U187" s="69"/>
      <c r="V187" s="69"/>
      <c r="W187" s="69"/>
      <c r="X187" s="69"/>
      <c r="Y187" s="69"/>
      <c r="Z187" s="69"/>
      <c r="AA187" s="69"/>
      <c r="AB187" s="69"/>
      <c r="AC187" s="69"/>
      <c r="AD187" s="69"/>
    </row>
    <row r="188" spans="1:30" ht="15.75">
      <c r="A188" s="123"/>
      <c r="B188" s="94"/>
      <c r="C188" s="123"/>
      <c r="D188" s="123"/>
      <c r="E188" s="123"/>
      <c r="F188" s="123"/>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c r="A189" s="123"/>
      <c r="B189" s="123"/>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69"/>
      <c r="D190" s="69"/>
      <c r="E190" s="69"/>
      <c r="F190" s="69"/>
      <c r="G190" s="69"/>
      <c r="H190" s="123"/>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spans="1:30">
      <c r="A191" s="117"/>
      <c r="B191" s="117"/>
      <c r="C191" s="181"/>
      <c r="D191" s="117"/>
      <c r="E191" s="181"/>
      <c r="F191" s="181"/>
      <c r="G191" s="117"/>
      <c r="H191" s="117"/>
      <c r="I191" s="117"/>
      <c r="J191" s="117"/>
    </row>
  </sheetData>
  <mergeCells count="20">
    <mergeCell ref="B184:D184"/>
    <mergeCell ref="B185:D185"/>
    <mergeCell ref="J7:J8"/>
    <mergeCell ref="K7:K8"/>
    <mergeCell ref="B180:D180"/>
    <mergeCell ref="B181:D181"/>
    <mergeCell ref="B182:D182"/>
    <mergeCell ref="B183:D183"/>
    <mergeCell ref="I6:I8"/>
    <mergeCell ref="E6:E8"/>
    <mergeCell ref="F6:F8"/>
    <mergeCell ref="G6:G8"/>
    <mergeCell ref="H6:H8"/>
    <mergeCell ref="A2:K2"/>
    <mergeCell ref="A3:K3"/>
    <mergeCell ref="A6:A8"/>
    <mergeCell ref="B6:B8"/>
    <mergeCell ref="C6:C8"/>
    <mergeCell ref="D6:D8"/>
    <mergeCell ref="J6:K6"/>
  </mergeCells>
  <pageMargins left="0.51181102362204722" right="0" top="0.35433070866141736" bottom="0.35433070866141736" header="0.31496062992125984" footer="0.31496062992125984"/>
  <pageSetup paperSize="9" scale="75"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4"/>
  <sheetViews>
    <sheetView tabSelected="1" workbookViewId="0">
      <selection activeCell="B11" sqref="B11"/>
    </sheetView>
  </sheetViews>
  <sheetFormatPr defaultColWidth="9.140625" defaultRowHeight="16.5"/>
  <cols>
    <col min="1" max="1" width="6.7109375" style="589" customWidth="1"/>
    <col min="2" max="2" width="64" style="589" customWidth="1"/>
    <col min="3" max="3" width="16.85546875" style="589" customWidth="1"/>
    <col min="4" max="4" width="9.140625" style="589"/>
    <col min="5" max="5" width="10" style="589" bestFit="1" customWidth="1"/>
    <col min="6" max="6" width="16.140625" style="589" customWidth="1"/>
    <col min="7" max="16384" width="9.140625" style="589"/>
  </cols>
  <sheetData>
    <row r="1" spans="1:6">
      <c r="A1" s="1004" t="s">
        <v>901</v>
      </c>
      <c r="B1" s="1004"/>
    </row>
    <row r="2" spans="1:6">
      <c r="A2" s="1005" t="s">
        <v>900</v>
      </c>
      <c r="B2" s="1005"/>
      <c r="C2" s="1005"/>
    </row>
    <row r="3" spans="1:6" ht="18.75">
      <c r="A3" s="1009" t="s">
        <v>640</v>
      </c>
      <c r="B3" s="1009"/>
      <c r="C3" s="1009"/>
    </row>
    <row r="4" spans="1:6">
      <c r="A4" s="1006" t="s">
        <v>998</v>
      </c>
      <c r="B4" s="1006"/>
      <c r="C4" s="1006"/>
    </row>
    <row r="5" spans="1:6">
      <c r="A5" s="1007" t="s">
        <v>199</v>
      </c>
      <c r="B5" s="1007"/>
      <c r="C5" s="1007"/>
    </row>
    <row r="6" spans="1:6" ht="16.5" customHeight="1">
      <c r="A6" s="1008" t="s">
        <v>11</v>
      </c>
      <c r="B6" s="1008" t="s">
        <v>289</v>
      </c>
      <c r="C6" s="1008" t="s">
        <v>472</v>
      </c>
    </row>
    <row r="7" spans="1:6">
      <c r="A7" s="1008"/>
      <c r="B7" s="1008"/>
      <c r="C7" s="1008"/>
    </row>
    <row r="8" spans="1:6">
      <c r="A8" s="752" t="s">
        <v>12</v>
      </c>
      <c r="B8" s="752" t="s">
        <v>13</v>
      </c>
      <c r="C8" s="752">
        <v>1</v>
      </c>
    </row>
    <row r="9" spans="1:6" s="625" customFormat="1">
      <c r="A9" s="749" t="s">
        <v>12</v>
      </c>
      <c r="B9" s="749" t="s">
        <v>574</v>
      </c>
      <c r="C9" s="750">
        <f>C10+C15+C18+C19+C20-1</f>
        <v>19991570</v>
      </c>
      <c r="F9" s="677"/>
    </row>
    <row r="10" spans="1:6" s="625" customFormat="1">
      <c r="A10" s="613" t="s">
        <v>17</v>
      </c>
      <c r="B10" s="614" t="s">
        <v>575</v>
      </c>
      <c r="C10" s="624">
        <f>C11+C13</f>
        <v>13681572</v>
      </c>
      <c r="F10" s="677"/>
    </row>
    <row r="11" spans="1:6">
      <c r="A11" s="616" t="s">
        <v>257</v>
      </c>
      <c r="B11" s="615" t="s">
        <v>576</v>
      </c>
      <c r="C11" s="623">
        <v>1888800</v>
      </c>
      <c r="F11" s="680"/>
    </row>
    <row r="12" spans="1:6" s="673" customFormat="1" hidden="1">
      <c r="A12" s="670"/>
      <c r="B12" s="671" t="s">
        <v>660</v>
      </c>
      <c r="C12" s="672"/>
    </row>
    <row r="13" spans="1:6">
      <c r="A13" s="616" t="s">
        <v>257</v>
      </c>
      <c r="B13" s="615" t="s">
        <v>577</v>
      </c>
      <c r="C13" s="623">
        <v>11792772</v>
      </c>
      <c r="F13" s="680"/>
    </row>
    <row r="14" spans="1:6" ht="33">
      <c r="A14" s="616"/>
      <c r="B14" s="671" t="s">
        <v>771</v>
      </c>
      <c r="C14" s="672">
        <v>12714572</v>
      </c>
    </row>
    <row r="15" spans="1:6" s="625" customFormat="1">
      <c r="A15" s="613" t="s">
        <v>18</v>
      </c>
      <c r="B15" s="614" t="s">
        <v>578</v>
      </c>
      <c r="C15" s="624">
        <f t="shared" ref="C15" si="0">C16+C17</f>
        <v>2464674</v>
      </c>
    </row>
    <row r="16" spans="1:6">
      <c r="A16" s="616">
        <v>1</v>
      </c>
      <c r="B16" s="615" t="s">
        <v>579</v>
      </c>
      <c r="C16" s="623"/>
    </row>
    <row r="17" spans="1:6">
      <c r="A17" s="616">
        <v>2</v>
      </c>
      <c r="B17" s="615" t="s">
        <v>580</v>
      </c>
      <c r="C17" s="623">
        <v>2464674</v>
      </c>
    </row>
    <row r="18" spans="1:6">
      <c r="A18" s="613" t="s">
        <v>196</v>
      </c>
      <c r="B18" s="614" t="s">
        <v>581</v>
      </c>
      <c r="C18" s="623"/>
    </row>
    <row r="19" spans="1:6">
      <c r="A19" s="613" t="s">
        <v>197</v>
      </c>
      <c r="B19" s="614" t="s">
        <v>582</v>
      </c>
      <c r="C19" s="623"/>
    </row>
    <row r="20" spans="1:6" s="625" customFormat="1">
      <c r="A20" s="613" t="s">
        <v>419</v>
      </c>
      <c r="B20" s="614" t="s">
        <v>583</v>
      </c>
      <c r="C20" s="624">
        <v>3845325</v>
      </c>
    </row>
    <row r="21" spans="1:6">
      <c r="A21" s="613" t="s">
        <v>13</v>
      </c>
      <c r="B21" s="613" t="s">
        <v>383</v>
      </c>
      <c r="C21" s="624">
        <f>C22+C30+C33</f>
        <v>20067870</v>
      </c>
    </row>
    <row r="22" spans="1:6" s="625" customFormat="1">
      <c r="A22" s="613" t="s">
        <v>17</v>
      </c>
      <c r="B22" s="614" t="s">
        <v>584</v>
      </c>
      <c r="C22" s="624">
        <f>SUM(C23:C29)</f>
        <v>17603196</v>
      </c>
    </row>
    <row r="23" spans="1:6">
      <c r="A23" s="616">
        <v>1</v>
      </c>
      <c r="B23" s="615" t="s">
        <v>616</v>
      </c>
      <c r="C23" s="623">
        <f>'Bieu 17'!D10</f>
        <v>2461938</v>
      </c>
    </row>
    <row r="24" spans="1:6">
      <c r="A24" s="616">
        <v>2</v>
      </c>
      <c r="B24" s="615" t="s">
        <v>551</v>
      </c>
      <c r="C24" s="623">
        <f>'Bieu 17'!D25</f>
        <v>11543671</v>
      </c>
    </row>
    <row r="25" spans="1:6">
      <c r="A25" s="616">
        <v>3</v>
      </c>
      <c r="B25" s="615" t="s">
        <v>772</v>
      </c>
      <c r="C25" s="623">
        <f>'Bieu 17'!D44</f>
        <v>11901</v>
      </c>
    </row>
    <row r="26" spans="1:6">
      <c r="A26" s="616">
        <v>4</v>
      </c>
      <c r="B26" s="615" t="s">
        <v>572</v>
      </c>
      <c r="C26" s="623">
        <f>'Bieu 17'!D45</f>
        <v>1450</v>
      </c>
    </row>
    <row r="27" spans="1:6">
      <c r="A27" s="616">
        <v>5</v>
      </c>
      <c r="B27" s="615" t="s">
        <v>552</v>
      </c>
      <c r="C27" s="623">
        <f>'Bieu 17'!D46</f>
        <v>512325</v>
      </c>
    </row>
    <row r="28" spans="1:6">
      <c r="A28" s="616">
        <v>6</v>
      </c>
      <c r="B28" s="615" t="s">
        <v>693</v>
      </c>
      <c r="C28" s="623">
        <f>'Bieu 17'!D47</f>
        <v>3032462</v>
      </c>
    </row>
    <row r="29" spans="1:6">
      <c r="A29" s="616">
        <v>7</v>
      </c>
      <c r="B29" s="615" t="s">
        <v>671</v>
      </c>
      <c r="C29" s="623">
        <f>'ngay 27-11'!E174</f>
        <v>39449</v>
      </c>
      <c r="F29" s="680"/>
    </row>
    <row r="30" spans="1:6" s="625" customFormat="1">
      <c r="A30" s="613" t="s">
        <v>18</v>
      </c>
      <c r="B30" s="614" t="s">
        <v>585</v>
      </c>
      <c r="C30" s="624">
        <f t="shared" ref="C30" si="1">C31+C32</f>
        <v>2464674</v>
      </c>
    </row>
    <row r="31" spans="1:6">
      <c r="A31" s="616">
        <v>1</v>
      </c>
      <c r="B31" s="615" t="s">
        <v>554</v>
      </c>
      <c r="C31" s="623">
        <f>'Bieu 17'!D50</f>
        <v>472921</v>
      </c>
    </row>
    <row r="32" spans="1:6">
      <c r="A32" s="616">
        <v>2</v>
      </c>
      <c r="B32" s="615" t="s">
        <v>586</v>
      </c>
      <c r="C32" s="623">
        <f>'Bieu 17'!D57</f>
        <v>1991753</v>
      </c>
    </row>
    <row r="33" spans="1:6" s="625" customFormat="1">
      <c r="A33" s="613" t="s">
        <v>196</v>
      </c>
      <c r="B33" s="614" t="s">
        <v>587</v>
      </c>
      <c r="C33" s="624"/>
    </row>
    <row r="34" spans="1:6" s="625" customFormat="1">
      <c r="A34" s="613" t="s">
        <v>273</v>
      </c>
      <c r="B34" s="613" t="s">
        <v>773</v>
      </c>
      <c r="C34" s="624">
        <v>76300</v>
      </c>
    </row>
    <row r="35" spans="1:6" s="625" customFormat="1">
      <c r="A35" s="613" t="s">
        <v>271</v>
      </c>
      <c r="B35" s="613" t="s">
        <v>774</v>
      </c>
      <c r="C35" s="678">
        <v>74653</v>
      </c>
      <c r="E35" s="677"/>
    </row>
    <row r="36" spans="1:6" s="625" customFormat="1">
      <c r="A36" s="613" t="s">
        <v>17</v>
      </c>
      <c r="B36" s="614" t="s">
        <v>588</v>
      </c>
      <c r="C36" s="624"/>
    </row>
    <row r="37" spans="1:6" s="625" customFormat="1" ht="33">
      <c r="A37" s="613" t="s">
        <v>18</v>
      </c>
      <c r="B37" s="614" t="s">
        <v>589</v>
      </c>
      <c r="C37" s="624"/>
      <c r="F37" s="677"/>
    </row>
    <row r="38" spans="1:6" s="625" customFormat="1">
      <c r="A38" s="613" t="s">
        <v>269</v>
      </c>
      <c r="B38" s="613" t="s">
        <v>775</v>
      </c>
      <c r="C38" s="624">
        <f>C39</f>
        <v>76300</v>
      </c>
    </row>
    <row r="39" spans="1:6" s="625" customFormat="1">
      <c r="A39" s="613" t="s">
        <v>17</v>
      </c>
      <c r="B39" s="614" t="s">
        <v>590</v>
      </c>
      <c r="C39" s="624">
        <v>76300</v>
      </c>
    </row>
    <row r="40" spans="1:6" s="625" customFormat="1">
      <c r="A40" s="617" t="s">
        <v>18</v>
      </c>
      <c r="B40" s="618" t="s">
        <v>591</v>
      </c>
      <c r="C40" s="679"/>
    </row>
    <row r="41" spans="1:6" ht="18" customHeight="1"/>
    <row r="43" spans="1:6" ht="19.5" customHeight="1"/>
    <row r="44" spans="1:6" ht="24.75" customHeight="1"/>
  </sheetData>
  <mergeCells count="8">
    <mergeCell ref="A1:B1"/>
    <mergeCell ref="A2:C2"/>
    <mergeCell ref="A4:C4"/>
    <mergeCell ref="A5:C5"/>
    <mergeCell ref="A6:A7"/>
    <mergeCell ref="B6:B7"/>
    <mergeCell ref="C6:C7"/>
    <mergeCell ref="A3:C3"/>
  </mergeCells>
  <pageMargins left="0.78740157480314965" right="0" top="0.74803149606299213" bottom="0.59055118110236227"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252"/>
  <sheetViews>
    <sheetView topLeftCell="A16" zoomScale="112" zoomScaleNormal="112" workbookViewId="0">
      <selection activeCell="D10" sqref="D10:F46"/>
    </sheetView>
  </sheetViews>
  <sheetFormatPr defaultColWidth="6.5703125" defaultRowHeight="16.5"/>
  <cols>
    <col min="1" max="1" width="6.5703125" style="580"/>
    <col min="2" max="2" width="68" style="580" customWidth="1"/>
    <col min="3" max="3" width="16" style="580" customWidth="1"/>
    <col min="4" max="4" width="14.42578125" style="580" bestFit="1" customWidth="1"/>
    <col min="5" max="5" width="13.140625" style="580" bestFit="1" customWidth="1"/>
    <col min="6" max="6" width="14.42578125" style="580" bestFit="1" customWidth="1"/>
    <col min="7" max="16384" width="6.5703125" style="580"/>
  </cols>
  <sheetData>
    <row r="1" spans="1:6" ht="21.75" customHeight="1">
      <c r="A1" s="1014" t="s">
        <v>901</v>
      </c>
      <c r="B1" s="1014"/>
      <c r="C1" s="1014"/>
    </row>
    <row r="2" spans="1:6" ht="20.25" customHeight="1">
      <c r="A2" s="1015" t="s">
        <v>902</v>
      </c>
      <c r="B2" s="1015"/>
      <c r="C2" s="1015"/>
    </row>
    <row r="3" spans="1:6" ht="39" customHeight="1">
      <c r="A3" s="1016" t="s">
        <v>642</v>
      </c>
      <c r="B3" s="1016"/>
      <c r="C3" s="1016"/>
    </row>
    <row r="4" spans="1:6">
      <c r="A4" s="1006" t="s">
        <v>999</v>
      </c>
      <c r="B4" s="1006"/>
      <c r="C4" s="1006"/>
    </row>
    <row r="5" spans="1:6" ht="16.5" customHeight="1">
      <c r="A5" s="1012" t="s">
        <v>199</v>
      </c>
      <c r="B5" s="1012"/>
      <c r="C5" s="1012"/>
    </row>
    <row r="6" spans="1:6" ht="21.75" customHeight="1">
      <c r="A6" s="1008" t="s">
        <v>11</v>
      </c>
      <c r="B6" s="1008" t="s">
        <v>289</v>
      </c>
      <c r="C6" s="1008" t="s">
        <v>472</v>
      </c>
    </row>
    <row r="7" spans="1:6">
      <c r="A7" s="1008"/>
      <c r="B7" s="1008"/>
      <c r="C7" s="1008"/>
    </row>
    <row r="8" spans="1:6">
      <c r="A8" s="751" t="s">
        <v>12</v>
      </c>
      <c r="B8" s="751" t="s">
        <v>13</v>
      </c>
      <c r="C8" s="751">
        <v>1</v>
      </c>
    </row>
    <row r="9" spans="1:6">
      <c r="A9" s="766" t="s">
        <v>12</v>
      </c>
      <c r="B9" s="767" t="s">
        <v>653</v>
      </c>
      <c r="C9" s="768"/>
    </row>
    <row r="10" spans="1:6">
      <c r="A10" s="634" t="s">
        <v>17</v>
      </c>
      <c r="B10" s="635" t="s">
        <v>629</v>
      </c>
      <c r="C10" s="761">
        <f>C11+C13+C16+C17+C18</f>
        <v>16571341</v>
      </c>
      <c r="D10" s="621"/>
    </row>
    <row r="11" spans="1:6">
      <c r="A11" s="637">
        <v>1</v>
      </c>
      <c r="B11" s="638" t="s">
        <v>630</v>
      </c>
      <c r="C11" s="760">
        <f>9998344+262998</f>
        <v>10261342</v>
      </c>
      <c r="D11" s="621"/>
      <c r="F11" s="621"/>
    </row>
    <row r="12" spans="1:6" s="627" customFormat="1" ht="15.75">
      <c r="A12" s="641"/>
      <c r="B12" s="643" t="s">
        <v>652</v>
      </c>
      <c r="C12" s="760"/>
      <c r="D12" s="629"/>
      <c r="E12" s="629"/>
    </row>
    <row r="13" spans="1:6">
      <c r="A13" s="637">
        <v>2</v>
      </c>
      <c r="B13" s="638" t="s">
        <v>631</v>
      </c>
      <c r="C13" s="760">
        <f t="shared" ref="C13" si="0">C14+C15</f>
        <v>2464674</v>
      </c>
    </row>
    <row r="14" spans="1:6">
      <c r="A14" s="637" t="s">
        <v>257</v>
      </c>
      <c r="B14" s="638" t="s">
        <v>579</v>
      </c>
      <c r="C14" s="760"/>
      <c r="F14" s="621"/>
    </row>
    <row r="15" spans="1:6">
      <c r="A15" s="637" t="s">
        <v>257</v>
      </c>
      <c r="B15" s="638" t="s">
        <v>580</v>
      </c>
      <c r="C15" s="760">
        <v>2464674</v>
      </c>
    </row>
    <row r="16" spans="1:6">
      <c r="A16" s="637">
        <v>3</v>
      </c>
      <c r="B16" s="638" t="s">
        <v>581</v>
      </c>
      <c r="C16" s="760"/>
    </row>
    <row r="17" spans="1:6">
      <c r="A17" s="637">
        <v>4</v>
      </c>
      <c r="B17" s="638" t="s">
        <v>582</v>
      </c>
      <c r="C17" s="760"/>
      <c r="F17" s="621"/>
    </row>
    <row r="18" spans="1:6">
      <c r="A18" s="637">
        <v>5</v>
      </c>
      <c r="B18" s="638" t="s">
        <v>583</v>
      </c>
      <c r="C18" s="760">
        <v>3845325</v>
      </c>
      <c r="D18" s="621"/>
      <c r="E18" s="621"/>
    </row>
    <row r="19" spans="1:6">
      <c r="A19" s="634" t="s">
        <v>18</v>
      </c>
      <c r="B19" s="635" t="s">
        <v>632</v>
      </c>
      <c r="C19" s="761">
        <f>C20+C21+C24+1</f>
        <v>16647641</v>
      </c>
    </row>
    <row r="20" spans="1:6">
      <c r="A20" s="637">
        <v>1</v>
      </c>
      <c r="B20" s="638" t="s">
        <v>654</v>
      </c>
      <c r="C20" s="760">
        <f>'Biểu 49'!D9</f>
        <v>11496917</v>
      </c>
      <c r="D20" s="621"/>
      <c r="F20" s="621"/>
    </row>
    <row r="21" spans="1:6">
      <c r="A21" s="637">
        <v>2</v>
      </c>
      <c r="B21" s="638" t="s">
        <v>633</v>
      </c>
      <c r="C21" s="760">
        <f>C22+C23</f>
        <v>5150723</v>
      </c>
      <c r="D21" s="628"/>
    </row>
    <row r="22" spans="1:6">
      <c r="A22" s="637" t="s">
        <v>257</v>
      </c>
      <c r="B22" s="638" t="s">
        <v>634</v>
      </c>
      <c r="C22" s="760">
        <v>2775849</v>
      </c>
      <c r="F22" s="621"/>
    </row>
    <row r="23" spans="1:6">
      <c r="A23" s="637" t="s">
        <v>257</v>
      </c>
      <c r="B23" s="638" t="s">
        <v>635</v>
      </c>
      <c r="C23" s="760">
        <f>[1]MT2018!C4</f>
        <v>2374874</v>
      </c>
      <c r="E23" s="621"/>
      <c r="F23" s="621"/>
    </row>
    <row r="24" spans="1:6">
      <c r="A24" s="637">
        <v>3</v>
      </c>
      <c r="B24" s="638" t="s">
        <v>587</v>
      </c>
      <c r="C24" s="760"/>
      <c r="F24" s="621"/>
    </row>
    <row r="25" spans="1:6">
      <c r="A25" s="634" t="s">
        <v>196</v>
      </c>
      <c r="B25" s="635" t="s">
        <v>655</v>
      </c>
      <c r="C25" s="549">
        <f>C19-C10</f>
        <v>76300</v>
      </c>
      <c r="D25" s="621"/>
    </row>
    <row r="26" spans="1:6">
      <c r="A26" s="634" t="s">
        <v>13</v>
      </c>
      <c r="B26" s="635" t="s">
        <v>650</v>
      </c>
      <c r="C26" s="760"/>
      <c r="D26" s="621"/>
    </row>
    <row r="27" spans="1:6">
      <c r="A27" s="634" t="s">
        <v>17</v>
      </c>
      <c r="B27" s="635" t="s">
        <v>629</v>
      </c>
      <c r="C27" s="761">
        <f>C28+C30+C33+C34</f>
        <v>8570953</v>
      </c>
    </row>
    <row r="28" spans="1:6">
      <c r="A28" s="637">
        <v>1</v>
      </c>
      <c r="B28" s="638" t="s">
        <v>630</v>
      </c>
      <c r="C28" s="760">
        <f>3683229-262998-1</f>
        <v>3420230</v>
      </c>
      <c r="D28" s="621"/>
    </row>
    <row r="29" spans="1:6" s="626" customFormat="1" ht="15.75">
      <c r="A29" s="658"/>
      <c r="B29" s="643" t="s">
        <v>652</v>
      </c>
      <c r="C29" s="762"/>
    </row>
    <row r="30" spans="1:6">
      <c r="A30" s="637">
        <v>2</v>
      </c>
      <c r="B30" s="638" t="s">
        <v>631</v>
      </c>
      <c r="C30" s="760">
        <f>C31+C32</f>
        <v>5150723</v>
      </c>
    </row>
    <row r="31" spans="1:6">
      <c r="A31" s="637" t="s">
        <v>257</v>
      </c>
      <c r="B31" s="638" t="s">
        <v>579</v>
      </c>
      <c r="C31" s="760">
        <f>C22</f>
        <v>2775849</v>
      </c>
      <c r="D31" s="621"/>
    </row>
    <row r="32" spans="1:6">
      <c r="A32" s="637" t="s">
        <v>257</v>
      </c>
      <c r="B32" s="638" t="s">
        <v>580</v>
      </c>
      <c r="C32" s="760">
        <f>C23</f>
        <v>2374874</v>
      </c>
    </row>
    <row r="33" spans="1:5">
      <c r="A33" s="637">
        <v>3</v>
      </c>
      <c r="B33" s="638" t="s">
        <v>582</v>
      </c>
      <c r="C33" s="760"/>
      <c r="E33" s="621"/>
    </row>
    <row r="34" spans="1:5">
      <c r="A34" s="637">
        <v>4</v>
      </c>
      <c r="B34" s="638" t="s">
        <v>583</v>
      </c>
      <c r="C34" s="760"/>
      <c r="D34" s="621"/>
    </row>
    <row r="35" spans="1:5">
      <c r="A35" s="634" t="s">
        <v>18</v>
      </c>
      <c r="B35" s="635" t="s">
        <v>636</v>
      </c>
      <c r="C35" s="761">
        <f>C36+C37+C40</f>
        <v>8570953</v>
      </c>
    </row>
    <row r="36" spans="1:5">
      <c r="A36" s="637">
        <v>1</v>
      </c>
      <c r="B36" s="638" t="s">
        <v>651</v>
      </c>
      <c r="C36" s="760">
        <f>'Biểu 49'!E9</f>
        <v>8570953</v>
      </c>
    </row>
    <row r="37" spans="1:5">
      <c r="A37" s="637">
        <v>2</v>
      </c>
      <c r="B37" s="638" t="s">
        <v>637</v>
      </c>
      <c r="C37" s="760"/>
    </row>
    <row r="38" spans="1:5">
      <c r="A38" s="637" t="s">
        <v>257</v>
      </c>
      <c r="B38" s="638" t="s">
        <v>634</v>
      </c>
      <c r="C38" s="760"/>
    </row>
    <row r="39" spans="1:5">
      <c r="A39" s="637" t="s">
        <v>257</v>
      </c>
      <c r="B39" s="638" t="s">
        <v>635</v>
      </c>
      <c r="C39" s="760"/>
    </row>
    <row r="40" spans="1:5">
      <c r="A40" s="763">
        <v>3</v>
      </c>
      <c r="B40" s="764" t="s">
        <v>587</v>
      </c>
      <c r="C40" s="765"/>
    </row>
    <row r="41" spans="1:5" ht="17.25" hidden="1">
      <c r="A41" s="1013" t="s">
        <v>776</v>
      </c>
      <c r="B41" s="1013"/>
      <c r="C41" s="1013"/>
    </row>
    <row r="42" spans="1:5" ht="17.25" hidden="1">
      <c r="A42" s="1013" t="s">
        <v>638</v>
      </c>
      <c r="B42" s="1013"/>
      <c r="C42" s="1013"/>
    </row>
    <row r="43" spans="1:5" hidden="1">
      <c r="A43" s="1010" t="s">
        <v>639</v>
      </c>
      <c r="B43" s="1010"/>
      <c r="C43" s="1010"/>
    </row>
    <row r="44" spans="1:5" hidden="1">
      <c r="A44" s="1011" t="s">
        <v>592</v>
      </c>
      <c r="B44" s="1011"/>
      <c r="C44" s="1011"/>
    </row>
    <row r="73" ht="16.5" hidden="1" customHeight="1"/>
    <row r="79" ht="16.5" hidden="1" customHeight="1"/>
    <row r="83" ht="16.5" hidden="1" customHeight="1"/>
    <row r="84" ht="16.5" hidden="1" customHeight="1"/>
    <row r="101" ht="16.5" hidden="1" customHeight="1"/>
    <row r="106" ht="16.5" hidden="1" customHeight="1"/>
    <row r="110" ht="16.5" hidden="1" customHeight="1"/>
    <row r="111" ht="16.5" hidden="1" customHeight="1"/>
    <row r="112" ht="16.5" hidden="1" customHeight="1"/>
    <row r="114"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8" ht="16.5" hidden="1" customHeight="1"/>
    <row r="139"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201" ht="16.5" hidden="1" customHeight="1"/>
    <row r="202" ht="16.5" hidden="1" customHeight="1"/>
    <row r="203"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8" ht="16.5" hidden="1" customHeight="1"/>
    <row r="230" ht="16.5" hidden="1" customHeight="1"/>
    <row r="231" ht="16.5" hidden="1" customHeight="1"/>
    <row r="232" ht="16.5" hidden="1" customHeight="1"/>
    <row r="234" ht="16.5" hidden="1" customHeight="1"/>
    <row r="235"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12">
    <mergeCell ref="A1:C1"/>
    <mergeCell ref="A2:C2"/>
    <mergeCell ref="A3:C3"/>
    <mergeCell ref="A4:C4"/>
    <mergeCell ref="A42:C42"/>
    <mergeCell ref="A43:C43"/>
    <mergeCell ref="A44:C44"/>
    <mergeCell ref="A5:C5"/>
    <mergeCell ref="A6:A7"/>
    <mergeCell ref="B6:B7"/>
    <mergeCell ref="C6:C7"/>
    <mergeCell ref="A41:C41"/>
  </mergeCells>
  <pageMargins left="0.70866141732283472" right="0" top="0.74803149606299213" bottom="0.35433070866141736"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D82"/>
  <sheetViews>
    <sheetView topLeftCell="A56" workbookViewId="0">
      <selection activeCell="A5" sqref="A5"/>
    </sheetView>
  </sheetViews>
  <sheetFormatPr defaultRowHeight="12.75"/>
  <cols>
    <col min="1" max="1" width="62" customWidth="1"/>
    <col min="2" max="2" width="13.140625" customWidth="1"/>
    <col min="3" max="3" width="10.28515625" hidden="1" customWidth="1"/>
    <col min="4" max="4" width="13.140625" customWidth="1"/>
  </cols>
  <sheetData>
    <row r="1" spans="1:4" ht="18.75">
      <c r="A1" s="895" t="s">
        <v>901</v>
      </c>
      <c r="B1" s="1018" t="s">
        <v>965</v>
      </c>
      <c r="C1" s="1018"/>
      <c r="D1" s="1018"/>
    </row>
    <row r="2" spans="1:4" ht="15.75">
      <c r="A2" s="1023"/>
      <c r="B2" s="1023"/>
      <c r="C2" s="1023"/>
      <c r="D2" s="1023"/>
    </row>
    <row r="3" spans="1:4" ht="18.75">
      <c r="A3" s="1024" t="s">
        <v>964</v>
      </c>
      <c r="B3" s="1024"/>
      <c r="C3" s="1024"/>
      <c r="D3" s="1024"/>
    </row>
    <row r="4" spans="1:4" ht="21" customHeight="1">
      <c r="A4" s="1025" t="s">
        <v>1000</v>
      </c>
      <c r="B4" s="1025"/>
      <c r="C4" s="1025"/>
      <c r="D4" s="1025"/>
    </row>
    <row r="5" spans="1:4" ht="15.75">
      <c r="A5" s="862"/>
      <c r="B5" s="1017" t="s">
        <v>903</v>
      </c>
      <c r="C5" s="1017"/>
      <c r="D5" s="1017"/>
    </row>
    <row r="6" spans="1:4" ht="25.5" customHeight="1">
      <c r="A6" s="1022" t="s">
        <v>1</v>
      </c>
      <c r="B6" s="1019" t="s">
        <v>959</v>
      </c>
      <c r="C6" s="1020"/>
      <c r="D6" s="1021"/>
    </row>
    <row r="7" spans="1:4" ht="44.25" customHeight="1">
      <c r="A7" s="1022"/>
      <c r="B7" s="863" t="s">
        <v>904</v>
      </c>
      <c r="C7" s="864" t="s">
        <v>906</v>
      </c>
      <c r="D7" s="863" t="s">
        <v>905</v>
      </c>
    </row>
    <row r="8" spans="1:4" ht="15.75">
      <c r="A8" s="865" t="s">
        <v>907</v>
      </c>
      <c r="B8" s="866">
        <f>+B9+B80</f>
        <v>19676000</v>
      </c>
      <c r="C8" s="866">
        <f>+C9+C80</f>
        <v>1794428</v>
      </c>
      <c r="D8" s="866">
        <f>+D9+D80</f>
        <v>13681572</v>
      </c>
    </row>
    <row r="9" spans="1:4" ht="15.75">
      <c r="A9" s="867" t="s">
        <v>908</v>
      </c>
      <c r="B9" s="868">
        <f>+B14+B22+B30+B39+B47+B48+B49+B50+B51+B54+B62+B65+B67+B68+B74+B75+B79</f>
        <v>15476000</v>
      </c>
      <c r="C9" s="868">
        <f>+C14+C22+C30+C39+C47+C48+C49+C50+C51+C54+C62+C65+C67+C68+C74+C75+C79</f>
        <v>1794428</v>
      </c>
      <c r="D9" s="868">
        <f>+D14+D22+D30+D39+D47+D48+D49+D50+D51+D54+D62+D65+D67+D68+D74+D75+D79</f>
        <v>13681572</v>
      </c>
    </row>
    <row r="10" spans="1:4" ht="15.75" hidden="1">
      <c r="A10" s="869" t="s">
        <v>909</v>
      </c>
      <c r="B10" s="870">
        <f>B9-B11</f>
        <v>15421000</v>
      </c>
      <c r="C10" s="870">
        <f>C9-C11</f>
        <v>1794428</v>
      </c>
      <c r="D10" s="870">
        <f>D9-D11</f>
        <v>13626572</v>
      </c>
    </row>
    <row r="11" spans="1:4" ht="31.5" hidden="1">
      <c r="A11" s="871" t="s">
        <v>910</v>
      </c>
      <c r="B11" s="870">
        <f>B58+B59+B70</f>
        <v>55000</v>
      </c>
      <c r="C11" s="870">
        <f>C58+C59+C70</f>
        <v>0</v>
      </c>
      <c r="D11" s="870">
        <f>D58+D59+D70</f>
        <v>55000</v>
      </c>
    </row>
    <row r="12" spans="1:4" ht="31.5" hidden="1">
      <c r="A12" s="872" t="s">
        <v>911</v>
      </c>
      <c r="B12" s="873">
        <f>B9-B62-B79</f>
        <v>14579000</v>
      </c>
      <c r="C12" s="873">
        <f>C9-C62-C79</f>
        <v>1794428</v>
      </c>
      <c r="D12" s="873">
        <f>D9-D62-D79</f>
        <v>12784572</v>
      </c>
    </row>
    <row r="13" spans="1:4" ht="31.5" hidden="1">
      <c r="A13" s="871" t="s">
        <v>912</v>
      </c>
      <c r="B13" s="873">
        <f>B9-B62-B79-B58-B59-B70</f>
        <v>14524000</v>
      </c>
      <c r="C13" s="873">
        <f>C9-C62-C79-C58-C59-C70</f>
        <v>1794428</v>
      </c>
      <c r="D13" s="873">
        <f>D9-D62-D79-D58-D59-D70</f>
        <v>12729572</v>
      </c>
    </row>
    <row r="14" spans="1:4" ht="15.75">
      <c r="A14" s="874" t="s">
        <v>913</v>
      </c>
      <c r="B14" s="868">
        <f>+B15+B16+B17+B19+B20+B21</f>
        <v>901900</v>
      </c>
      <c r="C14" s="868">
        <f t="shared" ref="C14:D14" si="0">+C15+C16+C17+C19+C20+C21</f>
        <v>59460</v>
      </c>
      <c r="D14" s="868">
        <f t="shared" si="0"/>
        <v>842440</v>
      </c>
    </row>
    <row r="15" spans="1:4" ht="15.75">
      <c r="A15" s="875" t="s">
        <v>914</v>
      </c>
      <c r="B15" s="877">
        <v>541600</v>
      </c>
      <c r="C15" s="876">
        <f>B15*0.1</f>
        <v>54160</v>
      </c>
      <c r="D15" s="876">
        <f>B15-C15</f>
        <v>487440</v>
      </c>
    </row>
    <row r="16" spans="1:4" ht="15.75">
      <c r="A16" s="875" t="s">
        <v>915</v>
      </c>
      <c r="B16" s="876">
        <v>53000</v>
      </c>
      <c r="C16" s="876">
        <f>B16*0.1</f>
        <v>5300</v>
      </c>
      <c r="D16" s="876">
        <f>B16-C16</f>
        <v>47700</v>
      </c>
    </row>
    <row r="17" spans="1:4" ht="15.75">
      <c r="A17" s="875" t="s">
        <v>916</v>
      </c>
      <c r="B17" s="876"/>
      <c r="C17" s="876"/>
      <c r="D17" s="876"/>
    </row>
    <row r="18" spans="1:4" ht="31.5" hidden="1">
      <c r="A18" s="878" t="s">
        <v>917</v>
      </c>
      <c r="B18" s="879"/>
      <c r="C18" s="879"/>
      <c r="D18" s="879"/>
    </row>
    <row r="19" spans="1:4" ht="15.75">
      <c r="A19" s="875" t="s">
        <v>918</v>
      </c>
      <c r="B19" s="877">
        <v>307300</v>
      </c>
      <c r="C19" s="876"/>
      <c r="D19" s="876">
        <f>B19</f>
        <v>307300</v>
      </c>
    </row>
    <row r="20" spans="1:4" ht="15.75" hidden="1">
      <c r="A20" s="875" t="s">
        <v>919</v>
      </c>
      <c r="B20" s="876"/>
      <c r="C20" s="876"/>
      <c r="D20" s="876"/>
    </row>
    <row r="21" spans="1:4" ht="15.75" hidden="1">
      <c r="A21" s="875" t="s">
        <v>920</v>
      </c>
      <c r="B21" s="876"/>
      <c r="C21" s="876"/>
      <c r="D21" s="876"/>
    </row>
    <row r="22" spans="1:4" ht="15.75">
      <c r="A22" s="874" t="s">
        <v>921</v>
      </c>
      <c r="B22" s="868">
        <f t="shared" ref="B22:D22" si="1">B23+B24+B25+B27+B28+B29</f>
        <v>130000</v>
      </c>
      <c r="C22" s="868">
        <f t="shared" si="1"/>
        <v>11500</v>
      </c>
      <c r="D22" s="868">
        <f t="shared" si="1"/>
        <v>118500</v>
      </c>
    </row>
    <row r="23" spans="1:4" ht="15.75">
      <c r="A23" s="875" t="s">
        <v>922</v>
      </c>
      <c r="B23" s="876">
        <v>90000</v>
      </c>
      <c r="C23" s="876">
        <f>B23*0.1</f>
        <v>9000</v>
      </c>
      <c r="D23" s="876">
        <f>B23-C23</f>
        <v>81000</v>
      </c>
    </row>
    <row r="24" spans="1:4" ht="15.75">
      <c r="A24" s="875" t="s">
        <v>915</v>
      </c>
      <c r="B24" s="876">
        <v>24400</v>
      </c>
      <c r="C24" s="876">
        <f>B24*0.1</f>
        <v>2440</v>
      </c>
      <c r="D24" s="876">
        <f>B24-C24</f>
        <v>21960</v>
      </c>
    </row>
    <row r="25" spans="1:4" ht="15.75">
      <c r="A25" s="875" t="s">
        <v>923</v>
      </c>
      <c r="B25" s="876">
        <v>600</v>
      </c>
      <c r="C25" s="876">
        <f>B25*0.1</f>
        <v>60</v>
      </c>
      <c r="D25" s="876">
        <f>B25-C25</f>
        <v>540</v>
      </c>
    </row>
    <row r="26" spans="1:4" ht="31.5" hidden="1">
      <c r="A26" s="878" t="s">
        <v>917</v>
      </c>
      <c r="B26" s="879"/>
      <c r="C26" s="879"/>
      <c r="D26" s="879"/>
    </row>
    <row r="27" spans="1:4" ht="15.75">
      <c r="A27" s="875" t="s">
        <v>918</v>
      </c>
      <c r="B27" s="876">
        <v>15000</v>
      </c>
      <c r="C27" s="876"/>
      <c r="D27" s="876">
        <f>B27</f>
        <v>15000</v>
      </c>
    </row>
    <row r="28" spans="1:4" ht="15.75" hidden="1">
      <c r="A28" s="875" t="s">
        <v>919</v>
      </c>
      <c r="B28" s="876"/>
      <c r="C28" s="876"/>
      <c r="D28" s="876"/>
    </row>
    <row r="29" spans="1:4" ht="15.75" hidden="1">
      <c r="A29" s="875" t="s">
        <v>920</v>
      </c>
      <c r="B29" s="876"/>
      <c r="C29" s="876"/>
      <c r="D29" s="876"/>
    </row>
    <row r="30" spans="1:4" ht="15.75">
      <c r="A30" s="874" t="s">
        <v>924</v>
      </c>
      <c r="B30" s="868">
        <f t="shared" ref="B30" si="2">+B31+B35+B36+B32+B33+B38</f>
        <v>1313000</v>
      </c>
      <c r="C30" s="868">
        <f>+C31+C35+C36+C37+C32+C33+C38</f>
        <v>130900</v>
      </c>
      <c r="D30" s="868">
        <f>+D31+D35+D36+D37+D32+D33+D38</f>
        <v>1182100</v>
      </c>
    </row>
    <row r="31" spans="1:4" ht="15.75">
      <c r="A31" s="875" t="s">
        <v>914</v>
      </c>
      <c r="B31" s="876">
        <v>323000</v>
      </c>
      <c r="C31" s="876">
        <f>B31*0.1</f>
        <v>32300</v>
      </c>
      <c r="D31" s="876">
        <f>B31-C31</f>
        <v>290700</v>
      </c>
    </row>
    <row r="32" spans="1:4" ht="15.75">
      <c r="A32" s="875" t="s">
        <v>915</v>
      </c>
      <c r="B32" s="876">
        <v>241000</v>
      </c>
      <c r="C32" s="876">
        <f>B32*0.1</f>
        <v>24100</v>
      </c>
      <c r="D32" s="876">
        <f>B32-C32</f>
        <v>216900</v>
      </c>
    </row>
    <row r="33" spans="1:4" ht="15.75">
      <c r="A33" s="875" t="s">
        <v>923</v>
      </c>
      <c r="B33" s="877">
        <f>545000+200000</f>
        <v>745000</v>
      </c>
      <c r="C33" s="876">
        <f>B33*0.1</f>
        <v>74500</v>
      </c>
      <c r="D33" s="876">
        <f>B33-C33</f>
        <v>670500</v>
      </c>
    </row>
    <row r="34" spans="1:4" ht="31.5" hidden="1">
      <c r="A34" s="878" t="s">
        <v>917</v>
      </c>
      <c r="B34" s="879"/>
      <c r="C34" s="879"/>
      <c r="D34" s="879"/>
    </row>
    <row r="35" spans="1:4" ht="15.75">
      <c r="A35" s="875" t="s">
        <v>918</v>
      </c>
      <c r="B35" s="876">
        <v>4000</v>
      </c>
      <c r="C35" s="876"/>
      <c r="D35" s="876">
        <f>B35</f>
        <v>4000</v>
      </c>
    </row>
    <row r="36" spans="1:4" ht="15.75" hidden="1">
      <c r="A36" s="875" t="s">
        <v>919</v>
      </c>
      <c r="B36" s="876"/>
      <c r="C36" s="876"/>
      <c r="D36" s="876"/>
    </row>
    <row r="37" spans="1:4" ht="15.75" hidden="1">
      <c r="A37" s="875" t="s">
        <v>925</v>
      </c>
      <c r="B37" s="876"/>
      <c r="C37" s="876"/>
      <c r="D37" s="876"/>
    </row>
    <row r="38" spans="1:4" ht="15.75" hidden="1">
      <c r="A38" s="875" t="s">
        <v>920</v>
      </c>
      <c r="B38" s="876"/>
      <c r="C38" s="876"/>
      <c r="D38" s="876"/>
    </row>
    <row r="39" spans="1:4" ht="15.75">
      <c r="A39" s="874" t="s">
        <v>926</v>
      </c>
      <c r="B39" s="868">
        <f t="shared" ref="B39:D39" si="3">+B40+B41+B42+B44+B45+B46</f>
        <v>10766100</v>
      </c>
      <c r="C39" s="868">
        <f t="shared" si="3"/>
        <v>1184280</v>
      </c>
      <c r="D39" s="868">
        <f t="shared" si="3"/>
        <v>9581820</v>
      </c>
    </row>
    <row r="40" spans="1:4" ht="15.75">
      <c r="A40" s="875" t="s">
        <v>914</v>
      </c>
      <c r="B40" s="876">
        <v>2911800</v>
      </c>
      <c r="C40" s="876">
        <f>B40*0.1</f>
        <v>291180</v>
      </c>
      <c r="D40" s="876">
        <f>B40-C40</f>
        <v>2620620</v>
      </c>
    </row>
    <row r="41" spans="1:4" ht="15.75">
      <c r="A41" s="875" t="s">
        <v>915</v>
      </c>
      <c r="B41" s="876">
        <v>646000</v>
      </c>
      <c r="C41" s="876">
        <f>B41*0.1</f>
        <v>64600</v>
      </c>
      <c r="D41" s="876">
        <f>B41-C41</f>
        <v>581400</v>
      </c>
    </row>
    <row r="42" spans="1:4" ht="15.75">
      <c r="A42" s="875" t="s">
        <v>923</v>
      </c>
      <c r="B42" s="876">
        <v>7115000</v>
      </c>
      <c r="C42" s="876">
        <f>B43+(B42-B43)*0.1</f>
        <v>828500</v>
      </c>
      <c r="D42" s="876">
        <f>B42-C42</f>
        <v>6286500</v>
      </c>
    </row>
    <row r="43" spans="1:4" ht="31.5">
      <c r="A43" s="880" t="s">
        <v>927</v>
      </c>
      <c r="B43" s="881">
        <v>130000</v>
      </c>
      <c r="C43" s="881">
        <f>B43</f>
        <v>130000</v>
      </c>
      <c r="D43" s="881"/>
    </row>
    <row r="44" spans="1:4" ht="15.75">
      <c r="A44" s="875" t="s">
        <v>918</v>
      </c>
      <c r="B44" s="876">
        <v>93300</v>
      </c>
      <c r="C44" s="876"/>
      <c r="D44" s="876">
        <f>B44</f>
        <v>93300</v>
      </c>
    </row>
    <row r="45" spans="1:4" ht="15.75" hidden="1">
      <c r="A45" s="875" t="s">
        <v>919</v>
      </c>
      <c r="B45" s="876"/>
      <c r="C45" s="876"/>
      <c r="D45" s="876"/>
    </row>
    <row r="46" spans="1:4" ht="15.75" hidden="1">
      <c r="A46" s="875" t="s">
        <v>928</v>
      </c>
      <c r="B46" s="876"/>
      <c r="C46" s="876"/>
      <c r="D46" s="876"/>
    </row>
    <row r="47" spans="1:4" ht="15.75">
      <c r="A47" s="874" t="s">
        <v>929</v>
      </c>
      <c r="B47" s="868">
        <v>250000</v>
      </c>
      <c r="C47" s="868"/>
      <c r="D47" s="868">
        <f>B47</f>
        <v>250000</v>
      </c>
    </row>
    <row r="48" spans="1:4" ht="15.75" hidden="1">
      <c r="A48" s="874" t="s">
        <v>930</v>
      </c>
      <c r="B48" s="868"/>
      <c r="C48" s="868"/>
      <c r="D48" s="868"/>
    </row>
    <row r="49" spans="1:4" ht="15.75">
      <c r="A49" s="874" t="s">
        <v>931</v>
      </c>
      <c r="B49" s="868">
        <v>4000</v>
      </c>
      <c r="C49" s="868"/>
      <c r="D49" s="868">
        <f>B49</f>
        <v>4000</v>
      </c>
    </row>
    <row r="50" spans="1:4" ht="15.75">
      <c r="A50" s="874" t="s">
        <v>932</v>
      </c>
      <c r="B50" s="868">
        <v>380000</v>
      </c>
      <c r="C50" s="868">
        <f>B50*0.1</f>
        <v>38000</v>
      </c>
      <c r="D50" s="868">
        <f>B50-C50</f>
        <v>342000</v>
      </c>
    </row>
    <row r="51" spans="1:4" ht="15.75">
      <c r="A51" s="874" t="s">
        <v>933</v>
      </c>
      <c r="B51" s="868">
        <v>430000</v>
      </c>
      <c r="C51" s="868">
        <f>C52+C53</f>
        <v>284488</v>
      </c>
      <c r="D51" s="868">
        <f>D52+D53</f>
        <v>145512</v>
      </c>
    </row>
    <row r="52" spans="1:4" ht="15.75">
      <c r="A52" s="883" t="s">
        <v>934</v>
      </c>
      <c r="B52" s="881">
        <f>B51*0.624</f>
        <v>268320</v>
      </c>
      <c r="C52" s="881">
        <f>B52</f>
        <v>268320</v>
      </c>
      <c r="D52" s="881"/>
    </row>
    <row r="53" spans="1:4" ht="15.75">
      <c r="A53" s="883" t="s">
        <v>935</v>
      </c>
      <c r="B53" s="881">
        <f>B51-B52</f>
        <v>161680</v>
      </c>
      <c r="C53" s="881">
        <f>B53*0.1</f>
        <v>16168</v>
      </c>
      <c r="D53" s="881">
        <f>B53-C53</f>
        <v>145512</v>
      </c>
    </row>
    <row r="54" spans="1:4" ht="15.75">
      <c r="A54" s="874" t="s">
        <v>936</v>
      </c>
      <c r="B54" s="868">
        <f>100000</f>
        <v>100000</v>
      </c>
      <c r="C54" s="868">
        <f>C55</f>
        <v>33000</v>
      </c>
      <c r="D54" s="868">
        <f>D56</f>
        <v>67000</v>
      </c>
    </row>
    <row r="55" spans="1:4" ht="15.75">
      <c r="A55" s="875" t="s">
        <v>937</v>
      </c>
      <c r="B55" s="876">
        <v>33000</v>
      </c>
      <c r="C55" s="876">
        <f>B55</f>
        <v>33000</v>
      </c>
      <c r="D55" s="876"/>
    </row>
    <row r="56" spans="1:4" ht="15.75">
      <c r="A56" s="875" t="s">
        <v>938</v>
      </c>
      <c r="B56" s="876">
        <f>B54-B55</f>
        <v>67000</v>
      </c>
      <c r="C56" s="876"/>
      <c r="D56" s="876">
        <f>B56</f>
        <v>67000</v>
      </c>
    </row>
    <row r="57" spans="1:4" ht="15.75">
      <c r="A57" s="884" t="s">
        <v>939</v>
      </c>
      <c r="B57" s="876"/>
      <c r="C57" s="876"/>
      <c r="D57" s="876"/>
    </row>
    <row r="58" spans="1:4" ht="15.75">
      <c r="A58" s="885" t="s">
        <v>940</v>
      </c>
      <c r="B58" s="879">
        <v>30000</v>
      </c>
      <c r="C58" s="876"/>
      <c r="D58" s="879">
        <f>B58</f>
        <v>30000</v>
      </c>
    </row>
    <row r="59" spans="1:4" ht="15.75" hidden="1">
      <c r="A59" s="886" t="s">
        <v>941</v>
      </c>
      <c r="B59" s="876"/>
      <c r="C59" s="876"/>
      <c r="D59" s="876"/>
    </row>
    <row r="60" spans="1:4" ht="15.75">
      <c r="A60" s="880" t="s">
        <v>942</v>
      </c>
      <c r="B60" s="881">
        <v>15000</v>
      </c>
      <c r="C60" s="881"/>
      <c r="D60" s="881">
        <f>B60</f>
        <v>15000</v>
      </c>
    </row>
    <row r="61" spans="1:4" ht="15.75" hidden="1">
      <c r="A61" s="880" t="s">
        <v>943</v>
      </c>
      <c r="B61" s="881">
        <f>B56-B58-B59-B60</f>
        <v>22000</v>
      </c>
      <c r="C61" s="881"/>
      <c r="D61" s="881">
        <f>B61</f>
        <v>22000</v>
      </c>
    </row>
    <row r="62" spans="1:4" ht="15.75">
      <c r="A62" s="887" t="s">
        <v>944</v>
      </c>
      <c r="B62" s="882">
        <f>700000+58000+63260-260</f>
        <v>821000</v>
      </c>
      <c r="C62" s="882"/>
      <c r="D62" s="882">
        <f>B62</f>
        <v>821000</v>
      </c>
    </row>
    <row r="63" spans="1:4" ht="15.75" hidden="1">
      <c r="A63" s="884" t="s">
        <v>945</v>
      </c>
      <c r="B63" s="888"/>
      <c r="C63" s="888"/>
      <c r="D63" s="889"/>
    </row>
    <row r="64" spans="1:4" ht="15.75" hidden="1">
      <c r="A64" s="884" t="s">
        <v>946</v>
      </c>
      <c r="B64" s="888"/>
      <c r="C64" s="888"/>
      <c r="D64" s="889"/>
    </row>
    <row r="65" spans="1:4" ht="15.75">
      <c r="A65" s="874" t="s">
        <v>947</v>
      </c>
      <c r="B65" s="882">
        <f>100000+60000-58000-63260+260</f>
        <v>39000</v>
      </c>
      <c r="C65" s="882"/>
      <c r="D65" s="882">
        <f>B65</f>
        <v>39000</v>
      </c>
    </row>
    <row r="66" spans="1:4" ht="15.75" hidden="1">
      <c r="A66" s="884"/>
      <c r="B66" s="879"/>
      <c r="C66" s="879"/>
      <c r="D66" s="870"/>
    </row>
    <row r="67" spans="1:4" ht="15.75" hidden="1">
      <c r="A67" s="874" t="s">
        <v>948</v>
      </c>
      <c r="B67" s="868"/>
      <c r="C67" s="868"/>
      <c r="D67" s="868"/>
    </row>
    <row r="68" spans="1:4" ht="15.75">
      <c r="A68" s="874" t="s">
        <v>960</v>
      </c>
      <c r="B68" s="868">
        <v>170000</v>
      </c>
      <c r="C68" s="868">
        <f>C71+C72</f>
        <v>50000</v>
      </c>
      <c r="D68" s="868">
        <f>B68-C68</f>
        <v>120000</v>
      </c>
    </row>
    <row r="69" spans="1:4" ht="15.75">
      <c r="A69" s="884" t="s">
        <v>949</v>
      </c>
      <c r="B69" s="868"/>
      <c r="C69" s="868"/>
      <c r="D69" s="868"/>
    </row>
    <row r="70" spans="1:4" ht="15.75">
      <c r="A70" s="885" t="s">
        <v>950</v>
      </c>
      <c r="B70" s="879">
        <v>25000</v>
      </c>
      <c r="C70" s="868"/>
      <c r="D70" s="879">
        <f>B70</f>
        <v>25000</v>
      </c>
    </row>
    <row r="71" spans="1:4" ht="15.75">
      <c r="A71" s="883" t="s">
        <v>951</v>
      </c>
      <c r="B71" s="888">
        <v>25000</v>
      </c>
      <c r="C71" s="888">
        <f>B71</f>
        <v>25000</v>
      </c>
      <c r="D71" s="888">
        <f>B71-C71</f>
        <v>0</v>
      </c>
    </row>
    <row r="72" spans="1:4" ht="15.75">
      <c r="A72" s="880" t="s">
        <v>952</v>
      </c>
      <c r="B72" s="888">
        <v>25000</v>
      </c>
      <c r="C72" s="888">
        <f>B72</f>
        <v>25000</v>
      </c>
      <c r="D72" s="888"/>
    </row>
    <row r="73" spans="1:4" ht="15.75" hidden="1">
      <c r="A73" s="880" t="s">
        <v>953</v>
      </c>
      <c r="B73" s="881">
        <f>B68-B70-B71-B72</f>
        <v>95000</v>
      </c>
      <c r="C73" s="888"/>
      <c r="D73" s="888">
        <f>B73</f>
        <v>95000</v>
      </c>
    </row>
    <row r="74" spans="1:4" ht="15.75">
      <c r="A74" s="874" t="s">
        <v>961</v>
      </c>
      <c r="B74" s="868">
        <v>40000</v>
      </c>
      <c r="C74" s="868"/>
      <c r="D74" s="868">
        <f>B74</f>
        <v>40000</v>
      </c>
    </row>
    <row r="75" spans="1:4" ht="15.75">
      <c r="A75" s="874" t="s">
        <v>962</v>
      </c>
      <c r="B75" s="868">
        <v>55000</v>
      </c>
      <c r="C75" s="868">
        <f>C77+C78</f>
        <v>2800</v>
      </c>
      <c r="D75" s="868">
        <f>D77+D78</f>
        <v>52200</v>
      </c>
    </row>
    <row r="76" spans="1:4" ht="15.75">
      <c r="A76" s="883" t="s">
        <v>161</v>
      </c>
      <c r="B76" s="890"/>
      <c r="C76" s="890"/>
      <c r="D76" s="890"/>
    </row>
    <row r="77" spans="1:4" ht="15.75">
      <c r="A77" s="883" t="s">
        <v>954</v>
      </c>
      <c r="B77" s="881">
        <v>4000</v>
      </c>
      <c r="C77" s="881">
        <f>B77*0.7</f>
        <v>2800</v>
      </c>
      <c r="D77" s="881">
        <f>B77-C77</f>
        <v>1200</v>
      </c>
    </row>
    <row r="78" spans="1:4" ht="15.75">
      <c r="A78" s="883" t="s">
        <v>955</v>
      </c>
      <c r="B78" s="881">
        <f>B75-B77</f>
        <v>51000</v>
      </c>
      <c r="C78" s="881"/>
      <c r="D78" s="881">
        <f>B78</f>
        <v>51000</v>
      </c>
    </row>
    <row r="79" spans="1:4" ht="15.75">
      <c r="A79" s="874" t="s">
        <v>963</v>
      </c>
      <c r="B79" s="868">
        <v>76000</v>
      </c>
      <c r="C79" s="890"/>
      <c r="D79" s="868">
        <f>B79</f>
        <v>76000</v>
      </c>
    </row>
    <row r="80" spans="1:4" ht="15.75">
      <c r="A80" s="891" t="s">
        <v>956</v>
      </c>
      <c r="B80" s="882">
        <f>B81+B82</f>
        <v>4200000</v>
      </c>
      <c r="C80" s="882"/>
      <c r="D80" s="882"/>
    </row>
    <row r="81" spans="1:4" ht="15.75">
      <c r="A81" s="875" t="s">
        <v>957</v>
      </c>
      <c r="B81" s="892">
        <f>5000+1994500+500</f>
        <v>2000000</v>
      </c>
      <c r="C81" s="892"/>
      <c r="D81" s="892"/>
    </row>
    <row r="82" spans="1:4" ht="15.75">
      <c r="A82" s="893" t="s">
        <v>958</v>
      </c>
      <c r="B82" s="894">
        <v>2200000</v>
      </c>
      <c r="C82" s="894"/>
      <c r="D82" s="894"/>
    </row>
  </sheetData>
  <mergeCells count="7">
    <mergeCell ref="B5:D5"/>
    <mergeCell ref="B1:D1"/>
    <mergeCell ref="B6:D6"/>
    <mergeCell ref="A6:A7"/>
    <mergeCell ref="A2:D2"/>
    <mergeCell ref="A3:D3"/>
    <mergeCell ref="A4:D4"/>
  </mergeCells>
  <printOptions horizontalCentered="1"/>
  <pageMargins left="0.95" right="0.45" top="0.75" bottom="0.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A7BC7CA-55CE-4FA9-97C1-0861F0B6F20D}"/>
</file>

<file path=customXml/itemProps2.xml><?xml version="1.0" encoding="utf-8"?>
<ds:datastoreItem xmlns:ds="http://schemas.openxmlformats.org/officeDocument/2006/customXml" ds:itemID="{E30F583F-19DE-41BE-A4EB-8EC6567A0D7D}"/>
</file>

<file path=customXml/itemProps3.xml><?xml version="1.0" encoding="utf-8"?>
<ds:datastoreItem xmlns:ds="http://schemas.openxmlformats.org/officeDocument/2006/customXml" ds:itemID="{6BDA9EB6-6607-4686-8170-148B363B5B4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31</vt:i4>
      </vt:variant>
    </vt:vector>
  </HeadingPairs>
  <TitlesOfParts>
    <vt:vector size="58" baseType="lpstr">
      <vt:lpstr>chi 2016 xac định lại</vt:lpstr>
      <vt:lpstr>Vong II</vt:lpstr>
      <vt:lpstr>Chi</vt:lpstr>
      <vt:lpstr>Boi chi NSDP</vt:lpstr>
      <vt:lpstr>Sheet1</vt:lpstr>
      <vt:lpstr>Quang Nam</vt:lpstr>
      <vt:lpstr>Biểu 46</vt:lpstr>
      <vt:lpstr>Biểu 47</vt:lpstr>
      <vt:lpstr>Biểu 48</vt:lpstr>
      <vt:lpstr>Biểu 49</vt:lpstr>
      <vt:lpstr>Biểu 50</vt:lpstr>
      <vt:lpstr>Biểu 52</vt:lpstr>
      <vt:lpstr>Biểu 53</vt:lpstr>
      <vt:lpstr>Biểu 54</vt:lpstr>
      <vt:lpstr>Biểu 55</vt:lpstr>
      <vt:lpstr>Biểu 56</vt:lpstr>
      <vt:lpstr>Bieu 17</vt:lpstr>
      <vt:lpstr>Bieu 37</vt:lpstr>
      <vt:lpstr>Bieu 41</vt:lpstr>
      <vt:lpstr>Bieu 9</vt:lpstr>
      <vt:lpstr>Bieu 10</vt:lpstr>
      <vt:lpstr>10 sua</vt:lpstr>
      <vt:lpstr>DT2018 (goc)</vt:lpstr>
      <vt:lpstr>2018-bao tam</vt:lpstr>
      <vt:lpstr>ngay 27-11</vt:lpstr>
      <vt:lpstr>9 sua</vt:lpstr>
      <vt:lpstr>BTC-Chinh thuc</vt:lpstr>
      <vt:lpstr>'10 sua'!Print_Area</vt:lpstr>
      <vt:lpstr>'Bieu 10'!Print_Area</vt:lpstr>
      <vt:lpstr>'Bieu 17'!Print_Area</vt:lpstr>
      <vt:lpstr>'Bieu 37'!Print_Area</vt:lpstr>
      <vt:lpstr>'Bieu 41'!Print_Area</vt:lpstr>
      <vt:lpstr>'Biểu 49'!Print_Area</vt:lpstr>
      <vt:lpstr>'Biểu 56'!Print_Area</vt:lpstr>
      <vt:lpstr>'Bieu 9'!Print_Area</vt:lpstr>
      <vt:lpstr>'Boi chi NSDP'!Print_Area</vt:lpstr>
      <vt:lpstr>Chi!Print_Area</vt:lpstr>
      <vt:lpstr>'chi 2016 xac định lại'!Print_Area</vt:lpstr>
      <vt:lpstr>'Vong II'!Print_Area</vt:lpstr>
      <vt:lpstr>'10 sua'!Print_Titles</vt:lpstr>
      <vt:lpstr>'2018-bao tam'!Print_Titles</vt:lpstr>
      <vt:lpstr>'Bieu 17'!Print_Titles</vt:lpstr>
      <vt:lpstr>'Bieu 37'!Print_Titles</vt:lpstr>
      <vt:lpstr>'Bieu 41'!Print_Titles</vt:lpstr>
      <vt:lpstr>'Biểu 46'!Print_Titles</vt:lpstr>
      <vt:lpstr>'Biểu 47'!Print_Titles</vt:lpstr>
      <vt:lpstr>'Biểu 48'!Print_Titles</vt:lpstr>
      <vt:lpstr>'Biểu 49'!Print_Titles</vt:lpstr>
      <vt:lpstr>'Biểu 50'!Print_Titles</vt:lpstr>
      <vt:lpstr>'Biểu 52'!Print_Titles</vt:lpstr>
      <vt:lpstr>'Biểu 53'!Print_Titles</vt:lpstr>
      <vt:lpstr>'Biểu 56'!Print_Titles</vt:lpstr>
      <vt:lpstr>'Bieu 9'!Print_Titles</vt:lpstr>
      <vt:lpstr>'Boi chi NSDP'!Print_Titles</vt:lpstr>
      <vt:lpstr>'DT2018 (goc)'!Print_Titles</vt:lpstr>
      <vt:lpstr>'ngay 27-11'!Print_Titles</vt:lpstr>
      <vt:lpstr>'Quang Nam'!Print_Titles</vt:lpstr>
      <vt:lpstr>'Vong II'!Print_Titles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2018-01-11T01:02:54Z</cp:lastPrinted>
  <dcterms:created xsi:type="dcterms:W3CDTF">2006-07-11T01:29:00Z</dcterms:created>
  <dcterms:modified xsi:type="dcterms:W3CDTF">2020-06-12T03:27:37Z</dcterms:modified>
</cp:coreProperties>
</file>